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codeName="ThisWorkbook" defaultThemeVersion="124226"/>
  <xr:revisionPtr revIDLastSave="0" documentId="13_ncr:1_{2258E1AB-6DFD-4A8D-A8E5-03DB6274E7F7}" xr6:coauthVersionLast="47" xr6:coauthVersionMax="47" xr10:uidLastSave="{00000000-0000-0000-0000-000000000000}"/>
  <bookViews>
    <workbookView xWindow="30612" yWindow="-108" windowWidth="30936" windowHeight="16776" tabRatio="799" xr2:uid="{00000000-000D-0000-FFFF-FFFF00000000}"/>
  </bookViews>
  <sheets>
    <sheet name="Inverter DC matching" sheetId="24" r:id="rId1"/>
    <sheet name="PV array shadow distance" sheetId="1" r:id="rId2"/>
    <sheet name="AC Cable loss" sheetId="22" r:id="rId3"/>
    <sheet name="Economic efficiency calculation" sheetId="21" r:id="rId4"/>
    <sheet name="逆变器参数" sheetId="25" state="hidden" r:id="rId5"/>
    <sheet name="直流电阻" sheetId="14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4" l="1"/>
  <c r="D29" i="24" s="1"/>
  <c r="D31" i="24"/>
  <c r="E12" i="24" l="1"/>
  <c r="D24" i="24"/>
  <c r="J7" i="24" s="1"/>
  <c r="D28" i="24"/>
  <c r="E26" i="24"/>
  <c r="J6" i="24" s="1"/>
  <c r="D26" i="24"/>
  <c r="D25" i="24"/>
  <c r="D27" i="24"/>
  <c r="L11" i="24" l="1"/>
  <c r="E7" i="1" l="1"/>
  <c r="J5" i="21"/>
  <c r="K5" i="21" s="1"/>
  <c r="L5" i="21" s="1"/>
  <c r="M5" i="21" s="1"/>
  <c r="N5" i="21" s="1"/>
  <c r="O5" i="21" s="1"/>
  <c r="P5" i="21" s="1"/>
  <c r="Q5" i="21" s="1"/>
  <c r="R5" i="21" s="1"/>
  <c r="S5" i="21" s="1"/>
  <c r="T5" i="21" s="1"/>
  <c r="U5" i="21" s="1"/>
  <c r="V5" i="21" s="1"/>
  <c r="W5" i="21" s="1"/>
  <c r="X5" i="21" s="1"/>
  <c r="Y5" i="21" s="1"/>
  <c r="Z5" i="21" s="1"/>
  <c r="AA5" i="21" s="1"/>
  <c r="AB5" i="21" s="1"/>
  <c r="AC5" i="21" s="1"/>
  <c r="AD5" i="21" s="1"/>
  <c r="AE5" i="21" s="1"/>
  <c r="AF5" i="21" s="1"/>
  <c r="AG5" i="21" s="1"/>
  <c r="AH5" i="21" s="1"/>
  <c r="J4" i="21" l="1"/>
  <c r="D13" i="21"/>
  <c r="I4" i="21"/>
  <c r="I5" i="21" l="1"/>
  <c r="E16" i="22" l="1"/>
  <c r="F16" i="22"/>
  <c r="D16" i="22"/>
  <c r="C17" i="22"/>
  <c r="C18" i="22"/>
  <c r="C19" i="22"/>
  <c r="C20" i="22"/>
  <c r="C21" i="22"/>
  <c r="C22" i="22"/>
  <c r="C23" i="22"/>
  <c r="C24" i="22"/>
  <c r="C25" i="22"/>
  <c r="C16" i="22"/>
  <c r="B17" i="22"/>
  <c r="B18" i="22"/>
  <c r="B19" i="22"/>
  <c r="B20" i="22"/>
  <c r="B21" i="22"/>
  <c r="B22" i="22"/>
  <c r="B23" i="22"/>
  <c r="B24" i="22"/>
  <c r="B25" i="22"/>
  <c r="B16" i="22"/>
  <c r="F17" i="22"/>
  <c r="F18" i="22"/>
  <c r="F19" i="22"/>
  <c r="F20" i="22"/>
  <c r="F21" i="22"/>
  <c r="F22" i="22"/>
  <c r="F23" i="22"/>
  <c r="F24" i="22"/>
  <c r="F25" i="22"/>
  <c r="D23" i="22"/>
  <c r="D24" i="22" s="1"/>
  <c r="D25" i="22" s="1"/>
  <c r="D10" i="22" l="1"/>
  <c r="J8" i="24" l="1"/>
  <c r="J9" i="24"/>
  <c r="J14" i="24"/>
  <c r="L14" i="24" s="1"/>
  <c r="J13" i="24"/>
  <c r="L13" i="24" s="1"/>
  <c r="J12" i="24"/>
  <c r="L12" i="24" s="1"/>
  <c r="D11" i="22" l="1"/>
  <c r="D12" i="22" s="1"/>
  <c r="J6" i="21" l="1"/>
  <c r="J7" i="21" s="1"/>
  <c r="K6" i="21"/>
  <c r="L6" i="21"/>
  <c r="M6" i="21"/>
  <c r="N6" i="21"/>
  <c r="P6" i="21"/>
  <c r="AH6" i="21"/>
  <c r="AH7" i="21" s="1"/>
  <c r="M7" i="21" l="1"/>
  <c r="S6" i="21"/>
  <c r="L7" i="21"/>
  <c r="R6" i="21"/>
  <c r="P7" i="21"/>
  <c r="V6" i="21"/>
  <c r="K7" i="21"/>
  <c r="Q6" i="21"/>
  <c r="N7" i="21"/>
  <c r="T6" i="21"/>
  <c r="D14" i="21"/>
  <c r="Q7" i="21" l="1"/>
  <c r="W6" i="21"/>
  <c r="S7" i="21"/>
  <c r="Y6" i="21"/>
  <c r="R7" i="21"/>
  <c r="X6" i="21"/>
  <c r="T7" i="21"/>
  <c r="Z6" i="21"/>
  <c r="V7" i="21"/>
  <c r="AB6" i="21"/>
  <c r="AB7" i="21" s="1"/>
  <c r="J8" i="21"/>
  <c r="Y7" i="21" l="1"/>
  <c r="AE6" i="21"/>
  <c r="AE7" i="21" s="1"/>
  <c r="X7" i="21"/>
  <c r="AD6" i="21"/>
  <c r="AD7" i="21" s="1"/>
  <c r="Z7" i="21"/>
  <c r="AF6" i="21"/>
  <c r="AF7" i="21" s="1"/>
  <c r="W7" i="21"/>
  <c r="AC6" i="21"/>
  <c r="AC7" i="21" s="1"/>
  <c r="K8" i="21"/>
  <c r="J10" i="21"/>
  <c r="L8" i="21" l="1"/>
  <c r="K10" i="21"/>
  <c r="M8" i="21" l="1"/>
  <c r="L10" i="21"/>
  <c r="N8" i="21" l="1"/>
  <c r="M10" i="21"/>
  <c r="N10" i="21" l="1"/>
  <c r="AA6" i="21" l="1"/>
  <c r="AA7" i="21" l="1"/>
  <c r="AG6" i="21"/>
  <c r="AG7" i="21" s="1"/>
  <c r="O6" i="21"/>
  <c r="U6" i="21"/>
  <c r="U7" i="21" s="1"/>
  <c r="I6" i="21" l="1"/>
  <c r="O7" i="21"/>
  <c r="O8" i="21" s="1"/>
  <c r="O10" i="21" s="1"/>
  <c r="I9" i="21"/>
  <c r="D15" i="21" s="1"/>
  <c r="I7" i="21" l="1"/>
  <c r="P8" i="21"/>
  <c r="P10" i="21" s="1"/>
  <c r="Q8" i="21" l="1"/>
  <c r="Q10" i="21" s="1"/>
  <c r="R8" i="21" l="1"/>
  <c r="S8" i="21" s="1"/>
  <c r="R10" i="21"/>
  <c r="S10" i="21" l="1"/>
  <c r="T8" i="21"/>
  <c r="T10" i="21" l="1"/>
  <c r="U8" i="21"/>
  <c r="V8" i="21" l="1"/>
  <c r="U10" i="21"/>
  <c r="V10" i="21" l="1"/>
  <c r="W8" i="21"/>
  <c r="X8" i="21" l="1"/>
  <c r="W10" i="21"/>
  <c r="X10" i="21" l="1"/>
  <c r="Y8" i="21"/>
  <c r="Z8" i="21" l="1"/>
  <c r="Y10" i="21"/>
  <c r="Z10" i="21" l="1"/>
  <c r="AA8" i="21"/>
  <c r="AB8" i="21" l="1"/>
  <c r="AA10" i="21"/>
  <c r="AB10" i="21" l="1"/>
  <c r="AC8" i="21"/>
  <c r="AD8" i="21" l="1"/>
  <c r="AC10" i="21"/>
  <c r="AD10" i="21" l="1"/>
  <c r="AE8" i="21"/>
  <c r="AF8" i="21" l="1"/>
  <c r="AE10" i="21"/>
  <c r="AF10" i="21" l="1"/>
  <c r="AG8" i="21"/>
  <c r="AH8" i="21" l="1"/>
  <c r="AH10" i="21" s="1"/>
  <c r="I10" i="21" s="1"/>
  <c r="AG10" i="21"/>
  <c r="D16" i="21" l="1"/>
</calcChain>
</file>

<file path=xl/sharedStrings.xml><?xml version="1.0" encoding="utf-8"?>
<sst xmlns="http://schemas.openxmlformats.org/spreadsheetml/2006/main" count="277" uniqueCount="205">
  <si>
    <t>W</t>
    <phoneticPr fontId="1" type="noConversion"/>
  </si>
  <si>
    <t>V</t>
    <phoneticPr fontId="1" type="noConversion"/>
  </si>
  <si>
    <t>A</t>
    <phoneticPr fontId="1" type="noConversion"/>
  </si>
  <si>
    <t>%/℃</t>
    <phoneticPr fontId="1" type="noConversion"/>
  </si>
  <si>
    <t>mm</t>
    <phoneticPr fontId="1" type="noConversion"/>
  </si>
  <si>
    <t>截面</t>
  </si>
  <si>
    <t>Ω</t>
    <phoneticPr fontId="1" type="noConversion"/>
  </si>
  <si>
    <t>V</t>
    <phoneticPr fontId="1" type="noConversion"/>
  </si>
  <si>
    <t>电缆20℃最大电阻Ω/Km</t>
    <phoneticPr fontId="4" type="noConversion"/>
  </si>
  <si>
    <t>单芯和多芯用第1种实芯导体</t>
  </si>
  <si>
    <t>单芯和多芯用第2种实芯导体</t>
  </si>
  <si>
    <t>单芯和多芯用第5种实芯导体</t>
  </si>
  <si>
    <t>铜（不镀金属）</t>
  </si>
  <si>
    <t>铜（镀金属）</t>
  </si>
  <si>
    <t>铝</t>
  </si>
  <si>
    <t>/</t>
  </si>
  <si>
    <t>℃</t>
    <phoneticPr fontId="1" type="noConversion"/>
  </si>
  <si>
    <t>m</t>
    <phoneticPr fontId="1" type="noConversion"/>
  </si>
  <si>
    <r>
      <t>mm</t>
    </r>
    <r>
      <rPr>
        <vertAlign val="superscript"/>
        <sz val="10"/>
        <color theme="1"/>
        <rFont val="微软雅黑"/>
        <family val="2"/>
        <charset val="134"/>
      </rPr>
      <t>2</t>
    </r>
    <phoneticPr fontId="1" type="noConversion"/>
  </si>
  <si>
    <t>%</t>
  </si>
  <si>
    <t>kWp</t>
  </si>
  <si>
    <t>Ω/km</t>
  </si>
  <si>
    <t>kW</t>
    <phoneticPr fontId="1" type="noConversion"/>
  </si>
  <si>
    <t>Max. DC Input Voltage</t>
    <phoneticPr fontId="1" type="noConversion"/>
  </si>
  <si>
    <t>Full Power MPPT Voltage Range</t>
    <phoneticPr fontId="1" type="noConversion"/>
  </si>
  <si>
    <t>PCS</t>
    <phoneticPr fontId="1" type="noConversion"/>
  </si>
  <si>
    <t>Rated DC Input Voltage</t>
    <phoneticPr fontId="1" type="noConversion"/>
  </si>
  <si>
    <t>String</t>
    <phoneticPr fontId="1" type="noConversion"/>
  </si>
  <si>
    <t>No. of MPP Trackers</t>
    <phoneticPr fontId="1" type="noConversion"/>
  </si>
  <si>
    <t>β</t>
    <phoneticPr fontId="1" type="noConversion"/>
  </si>
  <si>
    <t>L</t>
    <phoneticPr fontId="1" type="noConversion"/>
  </si>
  <si>
    <t>φ</t>
    <phoneticPr fontId="1" type="noConversion"/>
  </si>
  <si>
    <t>D</t>
    <phoneticPr fontId="1" type="noConversion"/>
  </si>
  <si>
    <t>Voc</t>
    <phoneticPr fontId="1" type="noConversion"/>
  </si>
  <si>
    <t>Isc</t>
    <phoneticPr fontId="1" type="noConversion"/>
  </si>
  <si>
    <t>Vmp</t>
    <phoneticPr fontId="1" type="noConversion"/>
  </si>
  <si>
    <t>Imp</t>
    <phoneticPr fontId="1" type="noConversion"/>
  </si>
  <si>
    <t>αIsc</t>
    <phoneticPr fontId="1" type="noConversion"/>
  </si>
  <si>
    <t>βVmp</t>
    <phoneticPr fontId="1" type="noConversion"/>
  </si>
  <si>
    <t>γPmp</t>
    <phoneticPr fontId="1" type="noConversion"/>
  </si>
  <si>
    <t>Tmax</t>
    <phoneticPr fontId="1" type="noConversion"/>
  </si>
  <si>
    <t>Tmin</t>
    <phoneticPr fontId="1" type="noConversion"/>
  </si>
  <si>
    <t>GREEN-Input,ORANGE-Automatic Calculation</t>
    <phoneticPr fontId="1" type="noConversion"/>
  </si>
  <si>
    <t>Max. Output Power</t>
    <phoneticPr fontId="1" type="noConversion"/>
  </si>
  <si>
    <t>Local maximum temperature</t>
    <phoneticPr fontId="4" type="noConversion"/>
  </si>
  <si>
    <t>Local minimum temperature</t>
    <phoneticPr fontId="4" type="noConversion"/>
  </si>
  <si>
    <t>Pmax</t>
    <phoneticPr fontId="1" type="noConversion"/>
  </si>
  <si>
    <t>Rated Maximum Power</t>
    <phoneticPr fontId="1" type="noConversion"/>
  </si>
  <si>
    <t>Open Circuit Voltage</t>
    <phoneticPr fontId="1" type="noConversion"/>
  </si>
  <si>
    <t>Short Circuit Current</t>
    <phoneticPr fontId="1" type="noConversion"/>
  </si>
  <si>
    <t>Maximum Power Voltage</t>
    <phoneticPr fontId="1" type="noConversion"/>
  </si>
  <si>
    <t>Maximum Power Current</t>
    <phoneticPr fontId="1" type="noConversion"/>
  </si>
  <si>
    <t>Temperature Coefficient of Isc</t>
    <phoneticPr fontId="1" type="noConversion"/>
  </si>
  <si>
    <t>Temperature Coefficient of Voc</t>
    <phoneticPr fontId="1" type="noConversion"/>
  </si>
  <si>
    <t>Temperature Coefficient of Pmax</t>
    <phoneticPr fontId="1" type="noConversion"/>
  </si>
  <si>
    <t>TYPE</t>
  </si>
  <si>
    <t>TYPE</t>
    <phoneticPr fontId="1" type="noConversion"/>
  </si>
  <si>
    <t>PV MODULE PARAMETERS（AT STC）</t>
    <phoneticPr fontId="1" type="noConversion"/>
  </si>
  <si>
    <t>Value</t>
  </si>
  <si>
    <t>Value</t>
    <phoneticPr fontId="1" type="noConversion"/>
  </si>
  <si>
    <t>Unit</t>
    <phoneticPr fontId="1" type="noConversion"/>
  </si>
  <si>
    <t>NO.</t>
    <phoneticPr fontId="1" type="noConversion"/>
  </si>
  <si>
    <t>LOCAL TEMPERATURE</t>
    <phoneticPr fontId="1" type="noConversion"/>
  </si>
  <si>
    <t>DC INPUT DESIGEN OF INVERTER</t>
    <phoneticPr fontId="1" type="noConversion"/>
  </si>
  <si>
    <t>Max. input power of inverter</t>
    <phoneticPr fontId="1" type="noConversion"/>
  </si>
  <si>
    <t>Open Circuit Voltage of PV string</t>
    <phoneticPr fontId="1" type="noConversion"/>
  </si>
  <si>
    <t>Min. Voltage of PV string</t>
    <phoneticPr fontId="1" type="noConversion"/>
  </si>
  <si>
    <t>Referenced quantity of PV strings</t>
    <phoneticPr fontId="1" type="noConversion"/>
  </si>
  <si>
    <t>Enter adjusted quantity of PV string</t>
    <phoneticPr fontId="1" type="noConversion"/>
  </si>
  <si>
    <t>The maximum quantity of PV modules in PV string</t>
  </si>
  <si>
    <t>The optimal quantity of PV modules in PV string</t>
  </si>
  <si>
    <t>The minimum quantity of PV modules in PV string</t>
  </si>
  <si>
    <t>ADVICE</t>
    <phoneticPr fontId="1" type="noConversion"/>
  </si>
  <si>
    <t>Shadow distance of PV array</t>
    <phoneticPr fontId="1" type="noConversion"/>
  </si>
  <si>
    <t>Remark</t>
  </si>
  <si>
    <t>Remark</t>
    <phoneticPr fontId="1" type="noConversion"/>
  </si>
  <si>
    <t>The length of the inclined PV array</t>
    <phoneticPr fontId="1" type="noConversion"/>
  </si>
  <si>
    <t>Tilt Angle of PV array</t>
    <phoneticPr fontId="1" type="noConversion"/>
  </si>
  <si>
    <t>Local latitude</t>
    <phoneticPr fontId="1" type="noConversion"/>
  </si>
  <si>
    <t>°</t>
    <phoneticPr fontId="1" type="noConversion"/>
  </si>
  <si>
    <t>Distance between front and rear arrays</t>
    <phoneticPr fontId="1" type="noConversion"/>
  </si>
  <si>
    <t>Three-phase AC cable loss calculation</t>
    <phoneticPr fontId="4" type="noConversion"/>
  </si>
  <si>
    <t>Single-phase AC cable loss calculation</t>
    <phoneticPr fontId="4" type="noConversion"/>
  </si>
  <si>
    <t>NO.</t>
  </si>
  <si>
    <t>Unit</t>
  </si>
  <si>
    <t>Type</t>
  </si>
  <si>
    <t>Type</t>
    <phoneticPr fontId="1" type="noConversion"/>
  </si>
  <si>
    <t xml:space="preserve">Environment temperature </t>
    <phoneticPr fontId="4" type="noConversion"/>
  </si>
  <si>
    <t xml:space="preserve">The maximum environment temperature </t>
    <phoneticPr fontId="1" type="noConversion"/>
  </si>
  <si>
    <t>AC cable length</t>
    <phoneticPr fontId="4" type="noConversion"/>
  </si>
  <si>
    <t>Inverter output AC cable length</t>
    <phoneticPr fontId="1" type="noConversion"/>
  </si>
  <si>
    <t>Number of cables in parallel</t>
    <phoneticPr fontId="1" type="noConversion"/>
  </si>
  <si>
    <t>If multiple cables are used in parallel, fill in the corresponding number</t>
    <phoneticPr fontId="1" type="noConversion"/>
  </si>
  <si>
    <t>Standard DC resistance</t>
    <phoneticPr fontId="4" type="noConversion"/>
  </si>
  <si>
    <t>Autocomputed value</t>
    <phoneticPr fontId="1" type="noConversion"/>
  </si>
  <si>
    <t>AC cable resistance</t>
    <phoneticPr fontId="4" type="noConversion"/>
  </si>
  <si>
    <t>AC cable voltage drop</t>
    <phoneticPr fontId="4" type="noConversion"/>
  </si>
  <si>
    <t>Calculation of generating capacity and income of PV power station for self-use</t>
    <phoneticPr fontId="1" type="noConversion"/>
  </si>
  <si>
    <t>PV power</t>
    <phoneticPr fontId="1" type="noConversion"/>
  </si>
  <si>
    <t>PV power station cost</t>
    <phoneticPr fontId="1" type="noConversion"/>
  </si>
  <si>
    <t>dollar</t>
    <phoneticPr fontId="1" type="noConversion"/>
  </si>
  <si>
    <t>kWh</t>
    <phoneticPr fontId="1" type="noConversion"/>
  </si>
  <si>
    <t>PV modules degradation in the first year</t>
    <phoneticPr fontId="1" type="noConversion"/>
  </si>
  <si>
    <t>Annual degradation thereafter</t>
    <phoneticPr fontId="1" type="noConversion"/>
  </si>
  <si>
    <t>%</t>
    <phoneticPr fontId="1" type="noConversion"/>
  </si>
  <si>
    <t>Project operation time</t>
    <phoneticPr fontId="1" type="noConversion"/>
  </si>
  <si>
    <t>year</t>
    <phoneticPr fontId="1" type="noConversion"/>
  </si>
  <si>
    <t>Prices of self-use</t>
    <phoneticPr fontId="1" type="noConversion"/>
  </si>
  <si>
    <t>dollar/kWh</t>
    <phoneticPr fontId="1" type="noConversion"/>
  </si>
  <si>
    <t>Proportion of self-use</t>
    <phoneticPr fontId="1" type="noConversion"/>
  </si>
  <si>
    <t>Price of feed into public grid</t>
    <phoneticPr fontId="1" type="noConversion"/>
  </si>
  <si>
    <t>doller/kWh</t>
    <phoneticPr fontId="1" type="noConversion"/>
  </si>
  <si>
    <t>dollar/year</t>
    <phoneticPr fontId="1" type="noConversion"/>
  </si>
  <si>
    <t>Comprehensive price of PV power</t>
    <phoneticPr fontId="1" type="noConversion"/>
  </si>
  <si>
    <t>Initial annual income</t>
    <phoneticPr fontId="1" type="noConversion"/>
  </si>
  <si>
    <t>Pay back period</t>
    <phoneticPr fontId="1" type="noConversion"/>
  </si>
  <si>
    <t>Total</t>
    <phoneticPr fontId="1" type="noConversion"/>
  </si>
  <si>
    <t>Year</t>
    <phoneticPr fontId="1" type="noConversion"/>
  </si>
  <si>
    <t>Cost</t>
    <phoneticPr fontId="1" type="noConversion"/>
  </si>
  <si>
    <t>Power generation</t>
    <phoneticPr fontId="1" type="noConversion"/>
  </si>
  <si>
    <t>Generating income</t>
    <phoneticPr fontId="1" type="noConversion"/>
  </si>
  <si>
    <t>Net cash flow</t>
    <phoneticPr fontId="1" type="noConversion"/>
  </si>
  <si>
    <t>Accumulative net cash flow</t>
    <phoneticPr fontId="1" type="noConversion"/>
  </si>
  <si>
    <t>Internal rate of return (IRR)</t>
    <phoneticPr fontId="1" type="noConversion"/>
  </si>
  <si>
    <t>Full Power MPPT 
Voltage Range</t>
    <phoneticPr fontId="1" type="noConversion"/>
  </si>
  <si>
    <t>No. of MPP 
Trackers</t>
    <phoneticPr fontId="1" type="noConversion"/>
  </si>
  <si>
    <t>Max. DC Input 
Voltage</t>
    <phoneticPr fontId="1" type="noConversion"/>
  </si>
  <si>
    <t>Rated DC Input 
Voltage</t>
    <phoneticPr fontId="1" type="noConversion"/>
  </si>
  <si>
    <t>Choose Inverter Model</t>
    <phoneticPr fontId="1" type="noConversion"/>
  </si>
  <si>
    <t>No. of DC Inputs</t>
    <phoneticPr fontId="1" type="noConversion"/>
  </si>
  <si>
    <t>Power</t>
    <phoneticPr fontId="4" type="noConversion"/>
  </si>
  <si>
    <t>Voltage</t>
    <phoneticPr fontId="1" type="noConversion"/>
  </si>
  <si>
    <t>The local standard voltage</t>
    <phoneticPr fontId="1" type="noConversion"/>
  </si>
  <si>
    <t>The power running on the cable</t>
    <phoneticPr fontId="1" type="noConversion"/>
  </si>
  <si>
    <t>Sectional cross sectional area of AC cable</t>
    <phoneticPr fontId="1" type="noConversion"/>
  </si>
  <si>
    <t>AC cable specification</t>
    <phoneticPr fontId="4" type="noConversion"/>
  </si>
  <si>
    <t>Refer to PV module specifications, if it is linear degradation，The first year is the same as every year after that.</t>
    <phoneticPr fontId="1" type="noConversion"/>
  </si>
  <si>
    <t>The price and proportion of PV power generation that is consumed locally by the user's load and not feed into the public grid.</t>
    <phoneticPr fontId="1" type="noConversion"/>
  </si>
  <si>
    <t>Areas where feed into public is not allowed, enter 0.</t>
    <phoneticPr fontId="1" type="noConversion"/>
  </si>
  <si>
    <t>Local currency unit.</t>
    <phoneticPr fontId="1" type="noConversion"/>
  </si>
  <si>
    <t>https://globalsolaratlas.info/map</t>
    <phoneticPr fontId="1" type="noConversion"/>
  </si>
  <si>
    <t xml:space="preserve">Initial annual generated energy </t>
    <phoneticPr fontId="4" type="noConversion"/>
  </si>
  <si>
    <t xml:space="preserve">Please refer to this website for Initial annual generated energy </t>
    <phoneticPr fontId="1" type="noConversion"/>
  </si>
  <si>
    <t>Calculated by PVsyst or empirically estimated, or the website below.</t>
    <phoneticPr fontId="1" type="noConversion"/>
  </si>
  <si>
    <t>MHS-3K-30</t>
    <phoneticPr fontId="1" type="noConversion"/>
  </si>
  <si>
    <t>MHS-3.6K-30</t>
    <phoneticPr fontId="1" type="noConversion"/>
  </si>
  <si>
    <t>MHS-4.2K-30</t>
    <phoneticPr fontId="1" type="noConversion"/>
  </si>
  <si>
    <t>MHS-5K-30</t>
    <phoneticPr fontId="1" type="noConversion"/>
  </si>
  <si>
    <t>MHS-6K-30</t>
    <phoneticPr fontId="1" type="noConversion"/>
  </si>
  <si>
    <t>MHS-8K-30</t>
    <phoneticPr fontId="1" type="noConversion"/>
  </si>
  <si>
    <t>MHT-4K-25</t>
    <phoneticPr fontId="1" type="noConversion"/>
  </si>
  <si>
    <t>MHT-5K-25</t>
    <phoneticPr fontId="1" type="noConversion"/>
  </si>
  <si>
    <t>MHT-6K-25</t>
    <phoneticPr fontId="1" type="noConversion"/>
  </si>
  <si>
    <t>MHT-8K-25</t>
    <phoneticPr fontId="1" type="noConversion"/>
  </si>
  <si>
    <t>MHT-10K-25</t>
    <phoneticPr fontId="1" type="noConversion"/>
  </si>
  <si>
    <t>MHT-12K-25</t>
    <phoneticPr fontId="1" type="noConversion"/>
  </si>
  <si>
    <t>MHT-10K-40</t>
    <phoneticPr fontId="1" type="noConversion"/>
  </si>
  <si>
    <t>MHT-12K-40</t>
    <phoneticPr fontId="1" type="noConversion"/>
  </si>
  <si>
    <t>MHT-15K-40</t>
    <phoneticPr fontId="1" type="noConversion"/>
  </si>
  <si>
    <t>MHT-20K-40</t>
    <phoneticPr fontId="1" type="noConversion"/>
  </si>
  <si>
    <t>MHT-25K-100</t>
    <phoneticPr fontId="1" type="noConversion"/>
  </si>
  <si>
    <t>MHT-30K-100</t>
    <phoneticPr fontId="1" type="noConversion"/>
  </si>
  <si>
    <t>MHT-36K-100</t>
    <phoneticPr fontId="1" type="noConversion"/>
  </si>
  <si>
    <t>MHT-40K-100</t>
    <phoneticPr fontId="1" type="noConversion"/>
  </si>
  <si>
    <t>MHT-50K-100</t>
    <phoneticPr fontId="1" type="noConversion"/>
  </si>
  <si>
    <t>No. of DC 
Inputs</t>
    <phoneticPr fontId="1" type="noConversion"/>
  </si>
  <si>
    <t>Enter adjusted quantity of PV modules in PV string</t>
    <phoneticPr fontId="1" type="noConversion"/>
  </si>
  <si>
    <t>OGS-1.5K</t>
    <phoneticPr fontId="1" type="noConversion"/>
  </si>
  <si>
    <t>OGS-2.5K</t>
    <phoneticPr fontId="1" type="noConversion"/>
  </si>
  <si>
    <t>OGS-3.3K</t>
    <phoneticPr fontId="1" type="noConversion"/>
  </si>
  <si>
    <t>OGS-3.6K</t>
    <phoneticPr fontId="1" type="noConversion"/>
  </si>
  <si>
    <t>OGS-4.2K</t>
    <phoneticPr fontId="1" type="noConversion"/>
  </si>
  <si>
    <t>OGS-5K</t>
    <phoneticPr fontId="1" type="noConversion"/>
  </si>
  <si>
    <t>OGS-6K</t>
    <phoneticPr fontId="1" type="noConversion"/>
  </si>
  <si>
    <t>OGT-5K</t>
    <phoneticPr fontId="1" type="noConversion"/>
  </si>
  <si>
    <t>OGT-6K</t>
    <phoneticPr fontId="1" type="noConversion"/>
  </si>
  <si>
    <t>OGT-8K</t>
    <phoneticPr fontId="1" type="noConversion"/>
  </si>
  <si>
    <t>OGT-8K-P</t>
    <phoneticPr fontId="1" type="noConversion"/>
  </si>
  <si>
    <t>OGT-10K</t>
    <phoneticPr fontId="1" type="noConversion"/>
  </si>
  <si>
    <t>OGT-10K-P</t>
    <phoneticPr fontId="1" type="noConversion"/>
  </si>
  <si>
    <t>OGT-12K</t>
    <phoneticPr fontId="1" type="noConversion"/>
  </si>
  <si>
    <t>OGT-12K-P</t>
    <phoneticPr fontId="1" type="noConversion"/>
  </si>
  <si>
    <t>OGT-20K</t>
    <phoneticPr fontId="1" type="noConversion"/>
  </si>
  <si>
    <t>OGT-25K</t>
    <phoneticPr fontId="1" type="noConversion"/>
  </si>
  <si>
    <t>OGT-15K-P</t>
    <phoneticPr fontId="1" type="noConversion"/>
  </si>
  <si>
    <t>M2HS-3K-30</t>
    <phoneticPr fontId="1" type="noConversion"/>
  </si>
  <si>
    <t>M2HS-3.6K-30</t>
    <phoneticPr fontId="1" type="noConversion"/>
  </si>
  <si>
    <t>M2HS-4.2K-30</t>
    <phoneticPr fontId="1" type="noConversion"/>
  </si>
  <si>
    <t>M2HS-4.6K-30</t>
    <phoneticPr fontId="1" type="noConversion"/>
  </si>
  <si>
    <t>M2HS-5K-30</t>
    <phoneticPr fontId="1" type="noConversion"/>
  </si>
  <si>
    <t>M2HS-6K-30</t>
    <phoneticPr fontId="1" type="noConversion"/>
  </si>
  <si>
    <t>M2HT-25K-150</t>
    <phoneticPr fontId="1" type="noConversion"/>
  </si>
  <si>
    <t>M2HT-29.9K-150</t>
    <phoneticPr fontId="1" type="noConversion"/>
  </si>
  <si>
    <t>M2HT-30K-150</t>
    <phoneticPr fontId="1" type="noConversion"/>
  </si>
  <si>
    <t>M2HT-40K-150</t>
    <phoneticPr fontId="1" type="noConversion"/>
  </si>
  <si>
    <t>M2HT-50K-150</t>
    <phoneticPr fontId="1" type="noConversion"/>
  </si>
  <si>
    <t>O2GS-1.5K</t>
    <phoneticPr fontId="1" type="noConversion"/>
  </si>
  <si>
    <t>O2GS-2.5K</t>
    <phoneticPr fontId="1" type="noConversion"/>
  </si>
  <si>
    <t>O2GS-3.3K</t>
    <phoneticPr fontId="1" type="noConversion"/>
  </si>
  <si>
    <t>Recommended Max. PV Input Power</t>
    <phoneticPr fontId="1" type="noConversion"/>
  </si>
  <si>
    <t>kW</t>
    <phoneticPr fontId="1" type="noConversion"/>
  </si>
  <si>
    <t>MHT-50K-100</t>
  </si>
  <si>
    <t>Rated output power</t>
    <phoneticPr fontId="1" type="noConversion"/>
  </si>
  <si>
    <t>Rated Output Power</t>
    <phoneticPr fontId="1" type="noConversion"/>
  </si>
  <si>
    <t>Copy Right©Solinteg 25.11.2024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</si>
</sst>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6" formatCode="0.00_ "/>
    <numFmt numFmtId="177" formatCode="0.00_);[Red]\(0.00\)"/>
    <numFmt numFmtId="178" formatCode="0_ "/>
    <numFmt numFmtId="179" formatCode="0.0000"/>
    <numFmt numFmtId="180" formatCode="0.000"/>
    <numFmt numFmtId="181" formatCode="0.0_ "/>
    <numFmt numFmtId="182" formatCode="0.000_ "/>
    <numFmt numFmtId="183" formatCode="0.000_);[Red]\(0.000\)"/>
    <numFmt numFmtId="184" formatCode="0.0000_ "/>
    <numFmt numFmtId="185" formatCode="0.0000_);[Red]\(0.0000\)"/>
    <numFmt numFmtId="186" formatCode="0_);[Red]\(0\)"/>
    <numFmt numFmtId="187" formatCode="_ * #,##0.0000_ ;_ * \-#,##0.0000_ ;_ * &quot;-&quot;??_ ;_ @_ 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vertAlign val="superscript"/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11"/>
      <color theme="10"/>
      <name val="微软雅黑"/>
      <family val="2"/>
      <charset val="134"/>
    </font>
    <font>
      <sz val="11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2" fillId="0" borderId="0" xfId="0" applyFont="1" applyAlignment="1"/>
    <xf numFmtId="0" fontId="8" fillId="0" borderId="1" xfId="1" applyFont="1" applyBorder="1">
      <alignment vertical="center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81" fontId="9" fillId="0" borderId="1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182" fontId="9" fillId="0" borderId="1" xfId="1" applyNumberFormat="1" applyFont="1" applyBorder="1" applyAlignment="1">
      <alignment horizontal="center" vertical="center"/>
    </xf>
    <xf numFmtId="183" fontId="9" fillId="0" borderId="1" xfId="1" applyNumberFormat="1" applyFont="1" applyBorder="1" applyAlignment="1">
      <alignment horizontal="center" vertical="center"/>
    </xf>
    <xf numFmtId="184" fontId="9" fillId="0" borderId="1" xfId="1" applyNumberFormat="1" applyFont="1" applyBorder="1" applyAlignment="1">
      <alignment horizontal="center" vertical="center"/>
    </xf>
    <xf numFmtId="185" fontId="9" fillId="0" borderId="1" xfId="1" applyNumberFormat="1" applyFont="1" applyBorder="1" applyAlignment="1">
      <alignment horizontal="center" vertical="center"/>
    </xf>
    <xf numFmtId="183" fontId="3" fillId="0" borderId="1" xfId="1" applyNumberFormat="1" applyFont="1" applyBorder="1">
      <alignment vertical="center"/>
    </xf>
    <xf numFmtId="0" fontId="3" fillId="0" borderId="1" xfId="1" applyFont="1" applyBorder="1">
      <alignment vertical="center"/>
    </xf>
    <xf numFmtId="0" fontId="9" fillId="0" borderId="1" xfId="1" applyFont="1" applyBorder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3" borderId="1" xfId="0" applyFont="1" applyFill="1" applyBorder="1">
      <alignment vertical="center"/>
    </xf>
    <xf numFmtId="2" fontId="11" fillId="3" borderId="1" xfId="0" applyNumberFormat="1" applyFont="1" applyFill="1" applyBorder="1">
      <alignment vertical="center"/>
    </xf>
    <xf numFmtId="180" fontId="11" fillId="3" borderId="1" xfId="0" applyNumberFormat="1" applyFont="1" applyFill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178" fontId="11" fillId="3" borderId="1" xfId="0" applyNumberFormat="1" applyFont="1" applyFill="1" applyBorder="1">
      <alignment vertical="center"/>
    </xf>
    <xf numFmtId="0" fontId="11" fillId="0" borderId="7" xfId="0" applyFont="1" applyBorder="1">
      <alignment vertical="center"/>
    </xf>
    <xf numFmtId="2" fontId="8" fillId="4" borderId="1" xfId="0" applyNumberFormat="1" applyFont="1" applyFill="1" applyBorder="1">
      <alignment vertical="center"/>
    </xf>
    <xf numFmtId="0" fontId="9" fillId="0" borderId="7" xfId="0" applyFont="1" applyBorder="1">
      <alignment vertical="center"/>
    </xf>
    <xf numFmtId="0" fontId="9" fillId="0" borderId="9" xfId="0" applyFont="1" applyBorder="1">
      <alignment vertical="center"/>
    </xf>
    <xf numFmtId="0" fontId="11" fillId="0" borderId="0" xfId="0" applyFont="1">
      <alignment vertical="center"/>
    </xf>
    <xf numFmtId="0" fontId="9" fillId="0" borderId="6" xfId="0" applyFont="1" applyBorder="1" applyAlignment="1">
      <alignment horizontal="center" vertical="center"/>
    </xf>
    <xf numFmtId="0" fontId="9" fillId="5" borderId="0" xfId="0" applyFont="1" applyFill="1">
      <alignment vertical="center"/>
    </xf>
    <xf numFmtId="0" fontId="9" fillId="0" borderId="8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 wrapText="1"/>
    </xf>
    <xf numFmtId="0" fontId="8" fillId="5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3" borderId="1" xfId="0" applyFont="1" applyFill="1" applyBorder="1">
      <alignment vertical="center"/>
    </xf>
    <xf numFmtId="10" fontId="9" fillId="3" borderId="1" xfId="0" applyNumberFormat="1" applyFont="1" applyFill="1" applyBorder="1">
      <alignment vertical="center"/>
    </xf>
    <xf numFmtId="0" fontId="11" fillId="5" borderId="7" xfId="0" applyFont="1" applyFill="1" applyBorder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5" borderId="1" xfId="0" applyFont="1" applyFill="1" applyBorder="1">
      <alignment vertical="center"/>
    </xf>
    <xf numFmtId="43" fontId="9" fillId="3" borderId="1" xfId="2" applyFont="1" applyFill="1" applyBorder="1" applyAlignment="1">
      <alignment horizontal="right" vertical="center"/>
    </xf>
    <xf numFmtId="187" fontId="9" fillId="3" borderId="1" xfId="2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1" fillId="0" borderId="9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186" fontId="8" fillId="4" borderId="1" xfId="0" applyNumberFormat="1" applyFont="1" applyFill="1" applyBorder="1">
      <alignment vertical="center"/>
    </xf>
    <xf numFmtId="177" fontId="8" fillId="4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2" fontId="9" fillId="3" borderId="1" xfId="0" applyNumberFormat="1" applyFont="1" applyFill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176" fontId="8" fillId="0" borderId="11" xfId="0" applyNumberFormat="1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186" fontId="8" fillId="0" borderId="11" xfId="0" applyNumberFormat="1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2" fontId="9" fillId="3" borderId="11" xfId="0" applyNumberFormat="1" applyFont="1" applyFill="1" applyBorder="1">
      <alignment vertical="center"/>
    </xf>
    <xf numFmtId="0" fontId="1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7" fontId="12" fillId="4" borderId="1" xfId="0" applyNumberFormat="1" applyFont="1" applyFill="1" applyBorder="1">
      <alignment vertical="center"/>
    </xf>
    <xf numFmtId="177" fontId="11" fillId="3" borderId="1" xfId="0" applyNumberFormat="1" applyFont="1" applyFill="1" applyBorder="1">
      <alignment vertical="center"/>
    </xf>
    <xf numFmtId="177" fontId="11" fillId="3" borderId="1" xfId="0" applyNumberFormat="1" applyFont="1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11" fillId="0" borderId="7" xfId="0" applyFont="1" applyBorder="1" applyAlignment="1">
      <alignment horizontal="left" vertical="center"/>
    </xf>
    <xf numFmtId="177" fontId="11" fillId="4" borderId="1" xfId="0" applyNumberFormat="1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7" xfId="0" applyBorder="1">
      <alignment vertical="center"/>
    </xf>
    <xf numFmtId="176" fontId="9" fillId="4" borderId="1" xfId="0" applyNumberFormat="1" applyFont="1" applyFill="1" applyBorder="1">
      <alignment vertical="center"/>
    </xf>
    <xf numFmtId="176" fontId="9" fillId="4" borderId="11" xfId="0" applyNumberFormat="1" applyFont="1" applyFill="1" applyBorder="1">
      <alignment vertical="center"/>
    </xf>
    <xf numFmtId="0" fontId="11" fillId="5" borderId="1" xfId="0" applyFont="1" applyFill="1" applyBorder="1" applyAlignment="1">
      <alignment horizontal="center" vertical="center"/>
    </xf>
    <xf numFmtId="10" fontId="9" fillId="4" borderId="1" xfId="3" applyNumberFormat="1" applyFont="1" applyFill="1" applyBorder="1" applyAlignment="1">
      <alignment vertical="center"/>
    </xf>
    <xf numFmtId="10" fontId="8" fillId="4" borderId="1" xfId="3" applyNumberFormat="1" applyFont="1" applyFill="1" applyBorder="1" applyAlignment="1">
      <alignment vertical="center"/>
    </xf>
    <xf numFmtId="9" fontId="11" fillId="3" borderId="1" xfId="3" applyFont="1" applyFill="1" applyBorder="1" applyAlignment="1">
      <alignment horizontal="right" vertical="center"/>
    </xf>
    <xf numFmtId="176" fontId="9" fillId="4" borderId="4" xfId="0" applyNumberFormat="1" applyFont="1" applyFill="1" applyBorder="1">
      <alignment vertical="center"/>
    </xf>
    <xf numFmtId="178" fontId="9" fillId="4" borderId="10" xfId="0" applyNumberFormat="1" applyFont="1" applyFill="1" applyBorder="1" applyAlignment="1">
      <alignment horizontal="center" vertical="center"/>
    </xf>
    <xf numFmtId="178" fontId="9" fillId="4" borderId="5" xfId="0" applyNumberFormat="1" applyFont="1" applyFill="1" applyBorder="1" applyAlignment="1">
      <alignment horizontal="center" vertical="center"/>
    </xf>
    <xf numFmtId="176" fontId="9" fillId="4" borderId="6" xfId="0" applyNumberFormat="1" applyFont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176" fontId="2" fillId="4" borderId="7" xfId="0" applyNumberFormat="1" applyFont="1" applyFill="1" applyBorder="1">
      <alignment vertical="center"/>
    </xf>
    <xf numFmtId="176" fontId="11" fillId="4" borderId="6" xfId="0" applyNumberFormat="1" applyFont="1" applyFill="1" applyBorder="1">
      <alignment vertical="center"/>
    </xf>
    <xf numFmtId="176" fontId="9" fillId="4" borderId="7" xfId="0" applyNumberFormat="1" applyFont="1" applyFill="1" applyBorder="1">
      <alignment vertical="center"/>
    </xf>
    <xf numFmtId="176" fontId="9" fillId="4" borderId="8" xfId="0" applyNumberFormat="1" applyFont="1" applyFill="1" applyBorder="1">
      <alignment vertical="center"/>
    </xf>
    <xf numFmtId="176" fontId="9" fillId="4" borderId="9" xfId="0" applyNumberFormat="1" applyFont="1" applyFill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86" fontId="11" fillId="4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186" fontId="11" fillId="4" borderId="2" xfId="0" applyNumberFormat="1" applyFont="1" applyFill="1" applyBorder="1" applyAlignment="1">
      <alignment horizontal="center" vertical="center"/>
    </xf>
    <xf numFmtId="0" fontId="16" fillId="6" borderId="1" xfId="4" applyFont="1" applyFill="1" applyBorder="1" applyAlignment="1">
      <alignment horizontal="center" vertical="center"/>
    </xf>
    <xf numFmtId="0" fontId="2" fillId="8" borderId="1" xfId="0" applyFont="1" applyFill="1" applyBorder="1">
      <alignment vertical="center"/>
    </xf>
    <xf numFmtId="186" fontId="11" fillId="8" borderId="1" xfId="0" applyNumberFormat="1" applyFont="1" applyFill="1" applyBorder="1" applyAlignment="1">
      <alignment horizontal="center" vertical="center"/>
    </xf>
    <xf numFmtId="2" fontId="11" fillId="8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>
      <alignment vertical="center"/>
    </xf>
    <xf numFmtId="186" fontId="11" fillId="9" borderId="1" xfId="0" applyNumberFormat="1" applyFont="1" applyFill="1" applyBorder="1" applyAlignment="1">
      <alignment horizontal="center" vertical="center"/>
    </xf>
    <xf numFmtId="2" fontId="11" fillId="9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>
      <alignment vertical="center"/>
    </xf>
    <xf numFmtId="186" fontId="11" fillId="10" borderId="1" xfId="0" applyNumberFormat="1" applyFont="1" applyFill="1" applyBorder="1" applyAlignment="1">
      <alignment horizontal="center" vertical="center"/>
    </xf>
    <xf numFmtId="2" fontId="11" fillId="10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>
      <alignment vertical="center"/>
    </xf>
    <xf numFmtId="186" fontId="11" fillId="11" borderId="1" xfId="0" applyNumberFormat="1" applyFont="1" applyFill="1" applyBorder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4" fillId="6" borderId="0" xfId="0" applyFont="1" applyFill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186" fontId="11" fillId="4" borderId="2" xfId="0" applyNumberFormat="1" applyFont="1" applyFill="1" applyBorder="1" applyAlignment="1">
      <alignment horizontal="center" vertical="center"/>
    </xf>
    <xf numFmtId="186" fontId="11" fillId="4" borderId="3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2" fillId="12" borderId="1" xfId="0" applyFont="1" applyFill="1" applyBorder="1">
      <alignment vertical="center"/>
    </xf>
    <xf numFmtId="186" fontId="11" fillId="12" borderId="1" xfId="0" applyNumberFormat="1" applyFont="1" applyFill="1" applyBorder="1" applyAlignment="1">
      <alignment horizontal="center" vertical="center"/>
    </xf>
    <xf numFmtId="2" fontId="11" fillId="12" borderId="1" xfId="0" applyNumberFormat="1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vertical="center" wrapText="1"/>
    </xf>
    <xf numFmtId="0" fontId="11" fillId="12" borderId="1" xfId="0" applyFont="1" applyFill="1" applyBorder="1">
      <alignment vertical="center"/>
    </xf>
    <xf numFmtId="177" fontId="11" fillId="12" borderId="1" xfId="0" applyNumberFormat="1" applyFont="1" applyFill="1" applyBorder="1" applyAlignment="1">
      <alignment horizontal="center" vertical="center"/>
    </xf>
    <xf numFmtId="177" fontId="11" fillId="4" borderId="2" xfId="0" applyNumberFormat="1" applyFont="1" applyFill="1" applyBorder="1" applyAlignment="1">
      <alignment horizontal="center" vertical="center"/>
    </xf>
    <xf numFmtId="177" fontId="11" fillId="4" borderId="3" xfId="0" applyNumberFormat="1" applyFont="1" applyFill="1" applyBorder="1" applyAlignment="1">
      <alignment horizontal="center" vertical="center"/>
    </xf>
    <xf numFmtId="177" fontId="11" fillId="9" borderId="1" xfId="0" applyNumberFormat="1" applyFont="1" applyFill="1" applyBorder="1" applyAlignment="1">
      <alignment horizontal="center" vertical="center"/>
    </xf>
    <xf numFmtId="177" fontId="11" fillId="10" borderId="1" xfId="0" applyNumberFormat="1" applyFont="1" applyFill="1" applyBorder="1" applyAlignment="1">
      <alignment horizontal="center" vertical="center"/>
    </xf>
    <xf numFmtId="177" fontId="11" fillId="11" borderId="1" xfId="0" applyNumberFormat="1" applyFont="1" applyFill="1" applyBorder="1" applyAlignment="1">
      <alignment horizontal="center" vertical="center"/>
    </xf>
    <xf numFmtId="177" fontId="11" fillId="8" borderId="1" xfId="0" applyNumberFormat="1" applyFont="1" applyFill="1" applyBorder="1" applyAlignment="1">
      <alignment horizontal="center" vertical="center"/>
    </xf>
  </cellXfs>
  <cellStyles count="5">
    <cellStyle name="百分比" xfId="3" builtinId="5"/>
    <cellStyle name="常规" xfId="0" builtinId="0"/>
    <cellStyle name="常规 2" xfId="1" xr:uid="{00000000-0005-0000-0000-000001000000}"/>
    <cellStyle name="超链接" xfId="4" builtinId="8"/>
    <cellStyle name="千位分隔" xfId="2" builtinId="3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79646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79646"/>
      <color rgb="FF3399FF"/>
      <color rgb="FF66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600075</xdr:colOff>
      <xdr:row>8</xdr:row>
      <xdr:rowOff>141089</xdr:rowOff>
    </xdr:from>
    <xdr:to>
      <xdr:col>4</xdr:col>
      <xdr:colOff>669133</xdr:colOff>
      <xdr:row>18</xdr:row>
      <xdr:rowOff>132864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46EDAD6-2A48-4F6A-A508-C527DC017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1611114"/>
          <a:ext cx="2993233" cy="183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globalsolaratlas.info/ma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45964-5557-48BB-915F-DBE5C151D14E}">
  <sheetPr codeName="Sheet1"/>
  <dimension ref="B1:L32"/>
  <sheetViews>
    <sheetView tabSelected="1" zoomScale="85" zoomScaleNormal="85" workbookViewId="0">
      <selection activeCell="L16" sqref="L16"/>
    </sheetView>
  </sheetViews>
  <sheetFormatPr defaultColWidth="8.84375" defaultRowHeight="14.15" x14ac:dyDescent="0.3"/>
  <cols>
    <col min="1" max="1" width="2.15234375" customWidth="1"/>
    <col min="2" max="2" width="5" bestFit="1" customWidth="1"/>
    <col min="3" max="3" width="32.69140625" customWidth="1"/>
    <col min="4" max="4" width="8" style="58" customWidth="1"/>
    <col min="5" max="5" width="9.69140625" customWidth="1"/>
    <col min="6" max="6" width="5.3828125" style="58" bestFit="1" customWidth="1"/>
    <col min="7" max="7" width="3" customWidth="1"/>
    <col min="8" max="8" width="5" bestFit="1" customWidth="1"/>
    <col min="9" max="9" width="47.84375" bestFit="1" customWidth="1"/>
    <col min="10" max="10" width="11.23046875" style="58" customWidth="1"/>
    <col min="11" max="11" width="6.3828125" style="58" customWidth="1"/>
    <col min="12" max="12" width="120.23046875" bestFit="1" customWidth="1"/>
  </cols>
  <sheetData>
    <row r="1" spans="2:12" x14ac:dyDescent="0.3">
      <c r="B1" s="120" t="s">
        <v>204</v>
      </c>
      <c r="C1" s="120"/>
      <c r="D1" s="120"/>
      <c r="E1" s="120"/>
      <c r="F1" s="120"/>
    </row>
    <row r="2" spans="2:12" ht="13.5" x14ac:dyDescent="0.3">
      <c r="B2" s="128" t="s">
        <v>42</v>
      </c>
      <c r="C2" s="128"/>
      <c r="D2" s="128"/>
      <c r="E2" s="128"/>
      <c r="F2" s="128"/>
    </row>
    <row r="3" spans="2:12" ht="13.95" thickBot="1" x14ac:dyDescent="0.35"/>
    <row r="4" spans="2:12" ht="14.6" x14ac:dyDescent="0.3">
      <c r="B4" s="121" t="s">
        <v>57</v>
      </c>
      <c r="C4" s="122"/>
      <c r="D4" s="122"/>
      <c r="E4" s="122"/>
      <c r="F4" s="123"/>
      <c r="H4" s="135" t="s">
        <v>63</v>
      </c>
      <c r="I4" s="136"/>
      <c r="J4" s="136"/>
      <c r="K4" s="136"/>
      <c r="L4" s="137"/>
    </row>
    <row r="5" spans="2:12" ht="13.95" x14ac:dyDescent="0.3">
      <c r="B5" s="18" t="s">
        <v>61</v>
      </c>
      <c r="C5" s="124" t="s">
        <v>56</v>
      </c>
      <c r="D5" s="125"/>
      <c r="E5" s="19" t="s">
        <v>59</v>
      </c>
      <c r="F5" s="20" t="s">
        <v>60</v>
      </c>
      <c r="H5" s="33" t="s">
        <v>61</v>
      </c>
      <c r="I5" s="40" t="s">
        <v>56</v>
      </c>
      <c r="J5" s="40" t="s">
        <v>58</v>
      </c>
      <c r="K5" s="20" t="s">
        <v>60</v>
      </c>
      <c r="L5" s="20" t="s">
        <v>72</v>
      </c>
    </row>
    <row r="6" spans="2:12" ht="14.7" x14ac:dyDescent="0.3">
      <c r="B6" s="18">
        <v>1</v>
      </c>
      <c r="C6" s="21" t="s">
        <v>47</v>
      </c>
      <c r="D6" s="19" t="s">
        <v>46</v>
      </c>
      <c r="E6" s="22">
        <v>450</v>
      </c>
      <c r="F6" s="20" t="s">
        <v>0</v>
      </c>
      <c r="H6" s="33">
        <v>1</v>
      </c>
      <c r="I6" s="52" t="s">
        <v>69</v>
      </c>
      <c r="J6" s="56">
        <f>INT(E26/($E$12*$E$7*($E$19-25)/100+$E$7))</f>
        <v>17</v>
      </c>
      <c r="K6" s="60" t="s">
        <v>25</v>
      </c>
      <c r="L6" s="30"/>
    </row>
    <row r="7" spans="2:12" ht="14.7" x14ac:dyDescent="0.3">
      <c r="B7" s="18">
        <v>2</v>
      </c>
      <c r="C7" s="21" t="s">
        <v>48</v>
      </c>
      <c r="D7" s="19" t="s">
        <v>33</v>
      </c>
      <c r="E7" s="23">
        <v>39.78</v>
      </c>
      <c r="F7" s="20" t="s">
        <v>1</v>
      </c>
      <c r="H7" s="33">
        <v>2</v>
      </c>
      <c r="I7" s="52" t="s">
        <v>70</v>
      </c>
      <c r="J7" s="56">
        <f>INT(D24/E9)</f>
        <v>18</v>
      </c>
      <c r="K7" s="60" t="s">
        <v>25</v>
      </c>
      <c r="L7" s="30"/>
    </row>
    <row r="8" spans="2:12" ht="14.7" x14ac:dyDescent="0.3">
      <c r="B8" s="18">
        <v>3</v>
      </c>
      <c r="C8" s="21" t="s">
        <v>49</v>
      </c>
      <c r="D8" s="19" t="s">
        <v>34</v>
      </c>
      <c r="E8" s="22">
        <v>14</v>
      </c>
      <c r="F8" s="20" t="s">
        <v>2</v>
      </c>
      <c r="H8" s="33">
        <v>3</v>
      </c>
      <c r="I8" s="52" t="s">
        <v>71</v>
      </c>
      <c r="J8" s="56">
        <f>D26/($E$9+$E$12*$E$9*($E$18-25)/100)</f>
        <v>7.2123143054451093</v>
      </c>
      <c r="K8" s="60" t="s">
        <v>25</v>
      </c>
      <c r="L8" s="30"/>
    </row>
    <row r="9" spans="2:12" ht="14.7" x14ac:dyDescent="0.3">
      <c r="B9" s="18">
        <v>4</v>
      </c>
      <c r="C9" s="21" t="s">
        <v>50</v>
      </c>
      <c r="D9" s="19" t="s">
        <v>35</v>
      </c>
      <c r="E9" s="22">
        <v>33.21</v>
      </c>
      <c r="F9" s="20" t="s">
        <v>1</v>
      </c>
      <c r="H9" s="33">
        <v>4</v>
      </c>
      <c r="I9" s="52" t="s">
        <v>67</v>
      </c>
      <c r="J9" s="56">
        <f>IF(IF(ROUND(D31*1000/(J7*E6),0)=0,1,ROUND(D31*1000/(J7*E6),0))&gt;=(D28+E28),IF(ROUND(D31*1000/(J7*E6),0)=0,1,ROUND(D31*1000/(J7*E6),0)),(D28+E28))</f>
        <v>8</v>
      </c>
      <c r="K9" s="60" t="s">
        <v>27</v>
      </c>
      <c r="L9" s="30"/>
    </row>
    <row r="10" spans="2:12" ht="13.95" x14ac:dyDescent="0.3">
      <c r="B10" s="18">
        <v>5</v>
      </c>
      <c r="C10" s="21" t="s">
        <v>51</v>
      </c>
      <c r="D10" s="19" t="s">
        <v>36</v>
      </c>
      <c r="E10" s="22">
        <v>13.55</v>
      </c>
      <c r="F10" s="20" t="s">
        <v>2</v>
      </c>
      <c r="H10" s="33">
        <v>5</v>
      </c>
      <c r="I10" s="52" t="s">
        <v>166</v>
      </c>
      <c r="J10" s="43">
        <v>17</v>
      </c>
      <c r="K10" s="60" t="s">
        <v>25</v>
      </c>
      <c r="L10" s="30"/>
    </row>
    <row r="11" spans="2:12" x14ac:dyDescent="0.3">
      <c r="B11" s="18">
        <v>7</v>
      </c>
      <c r="C11" s="21" t="s">
        <v>52</v>
      </c>
      <c r="D11" s="19" t="s">
        <v>37</v>
      </c>
      <c r="E11" s="24">
        <v>4.5999999999999999E-2</v>
      </c>
      <c r="F11" s="20" t="s">
        <v>3</v>
      </c>
      <c r="H11" s="33">
        <v>6</v>
      </c>
      <c r="I11" s="52" t="s">
        <v>68</v>
      </c>
      <c r="J11" s="43">
        <v>8</v>
      </c>
      <c r="K11" s="60" t="s">
        <v>27</v>
      </c>
      <c r="L11" s="30" t="str">
        <f>IF(J11&gt;($D$28),"PV string quantity is greater than inverter DC input port, please reduce the PV string quantity","PASS")</f>
        <v>PASS</v>
      </c>
    </row>
    <row r="12" spans="2:12" ht="14.6" x14ac:dyDescent="0.3">
      <c r="B12" s="18">
        <v>8</v>
      </c>
      <c r="C12" s="21" t="s">
        <v>53</v>
      </c>
      <c r="D12" s="19" t="s">
        <v>38</v>
      </c>
      <c r="E12" s="24">
        <f>(100-99.45)*-1</f>
        <v>-0.54999999999999716</v>
      </c>
      <c r="F12" s="20" t="s">
        <v>3</v>
      </c>
      <c r="H12" s="33">
        <v>7</v>
      </c>
      <c r="I12" s="52" t="s">
        <v>64</v>
      </c>
      <c r="J12" s="57">
        <f>J11*(J10*E6)/1000</f>
        <v>61.2</v>
      </c>
      <c r="K12" s="40" t="s">
        <v>22</v>
      </c>
      <c r="L12" s="30" t="str">
        <f>IF(J12&gt;$D$29,"The PV power is too much, it maybe waste, advice reduce the PV modules","PASS")</f>
        <v>PASS</v>
      </c>
    </row>
    <row r="13" spans="2:12" ht="14.6" x14ac:dyDescent="0.3">
      <c r="B13" s="18">
        <v>9</v>
      </c>
      <c r="C13" s="21" t="s">
        <v>54</v>
      </c>
      <c r="D13" s="19" t="s">
        <v>39</v>
      </c>
      <c r="E13" s="24">
        <v>-0.3</v>
      </c>
      <c r="F13" s="20" t="s">
        <v>3</v>
      </c>
      <c r="H13" s="33">
        <v>8</v>
      </c>
      <c r="I13" s="52" t="s">
        <v>65</v>
      </c>
      <c r="J13" s="56">
        <f>($E$12*$E$7*($E$19-25)/100+$E$7)*J10</f>
        <v>806.44004999999936</v>
      </c>
      <c r="K13" s="40" t="s">
        <v>1</v>
      </c>
      <c r="L13" s="30" t="str">
        <f>IF(J13&gt;D25,"Greater than Max. DC Input Voltage of inverter, the inverter will be damaged, pls reduce the quantity of PV modules in PV",IF(J13&gt;$E$26,"Greater than Max. DC Input Voltage of inverter, the inverter production will be stopped, pls reduce the quantity of PV modules in PV","PASS"))</f>
        <v>PASS</v>
      </c>
    </row>
    <row r="14" spans="2:12" ht="15" thickBot="1" x14ac:dyDescent="0.35">
      <c r="B14" s="25"/>
      <c r="C14" s="26"/>
      <c r="D14" s="55"/>
      <c r="E14" s="26"/>
      <c r="F14" s="64"/>
      <c r="H14" s="33">
        <v>9</v>
      </c>
      <c r="I14" s="52" t="s">
        <v>66</v>
      </c>
      <c r="J14" s="56">
        <f>($E$9+$E$12*$E$9*($E$18-25)/100)*J10</f>
        <v>471.41595000000052</v>
      </c>
      <c r="K14" s="40" t="s">
        <v>1</v>
      </c>
      <c r="L14" s="30" t="str">
        <f>IF(J14&lt;$D$26,"The voltage is too low, pls add the quantity of PV modules in PV string","PASS")</f>
        <v>PASS</v>
      </c>
    </row>
    <row r="15" spans="2:12" ht="15" thickBot="1" x14ac:dyDescent="0.35">
      <c r="H15" s="35"/>
      <c r="I15" s="53"/>
      <c r="J15" s="63"/>
      <c r="K15" s="62"/>
      <c r="L15" s="31"/>
    </row>
    <row r="16" spans="2:12" ht="14.7" x14ac:dyDescent="0.3">
      <c r="B16" s="121" t="s">
        <v>62</v>
      </c>
      <c r="C16" s="122"/>
      <c r="D16" s="122"/>
      <c r="E16" s="122"/>
      <c r="F16" s="123"/>
    </row>
    <row r="17" spans="2:6" ht="13.95" x14ac:dyDescent="0.3">
      <c r="B17" s="33" t="s">
        <v>61</v>
      </c>
      <c r="C17" s="99" t="s">
        <v>56</v>
      </c>
      <c r="D17" s="100"/>
      <c r="E17" s="40" t="s">
        <v>59</v>
      </c>
      <c r="F17" s="41" t="s">
        <v>60</v>
      </c>
    </row>
    <row r="18" spans="2:6" x14ac:dyDescent="0.3">
      <c r="B18" s="33">
        <v>1</v>
      </c>
      <c r="C18" s="52" t="s">
        <v>44</v>
      </c>
      <c r="D18" s="40" t="s">
        <v>40</v>
      </c>
      <c r="E18" s="59">
        <v>55</v>
      </c>
      <c r="F18" s="65" t="s">
        <v>16</v>
      </c>
    </row>
    <row r="19" spans="2:6" ht="14.6" thickBot="1" x14ac:dyDescent="0.35">
      <c r="B19" s="35">
        <v>2</v>
      </c>
      <c r="C19" s="53" t="s">
        <v>45</v>
      </c>
      <c r="D19" s="62" t="s">
        <v>41</v>
      </c>
      <c r="E19" s="67">
        <v>-10</v>
      </c>
      <c r="F19" s="66" t="s">
        <v>16</v>
      </c>
    </row>
    <row r="20" spans="2:6" ht="13.95" thickBot="1" x14ac:dyDescent="0.35"/>
    <row r="21" spans="2:6" ht="14.7" x14ac:dyDescent="0.3">
      <c r="B21" s="121" t="s">
        <v>128</v>
      </c>
      <c r="C21" s="122"/>
      <c r="D21" s="122"/>
      <c r="E21" s="122"/>
      <c r="F21" s="123"/>
    </row>
    <row r="22" spans="2:6" ht="14.7" x14ac:dyDescent="0.3">
      <c r="B22" s="129" t="s">
        <v>201</v>
      </c>
      <c r="C22" s="130"/>
      <c r="D22" s="130"/>
      <c r="E22" s="130"/>
      <c r="F22" s="131"/>
    </row>
    <row r="23" spans="2:6" ht="13.95" x14ac:dyDescent="0.3">
      <c r="B23" s="18" t="s">
        <v>61</v>
      </c>
      <c r="C23" s="19" t="s">
        <v>55</v>
      </c>
      <c r="D23" s="126" t="s">
        <v>59</v>
      </c>
      <c r="E23" s="127"/>
      <c r="F23" s="20" t="s">
        <v>60</v>
      </c>
    </row>
    <row r="24" spans="2:6" ht="13.95" x14ac:dyDescent="0.3">
      <c r="B24" s="18">
        <v>1</v>
      </c>
      <c r="C24" s="21" t="s">
        <v>26</v>
      </c>
      <c r="D24" s="138">
        <f>VLOOKUP(B22,逆变器参数!A1:I125,2,FALSE)</f>
        <v>620</v>
      </c>
      <c r="E24" s="139"/>
      <c r="F24" s="20" t="s">
        <v>1</v>
      </c>
    </row>
    <row r="25" spans="2:6" ht="13.95" x14ac:dyDescent="0.3">
      <c r="B25" s="18">
        <v>2</v>
      </c>
      <c r="C25" s="21" t="s">
        <v>23</v>
      </c>
      <c r="D25" s="138">
        <f>VLOOKUP(B22,逆变器参数!A1:I125,3,FALSE)</f>
        <v>1000</v>
      </c>
      <c r="E25" s="139"/>
      <c r="F25" s="20" t="s">
        <v>1</v>
      </c>
    </row>
    <row r="26" spans="2:6" ht="13.95" x14ac:dyDescent="0.3">
      <c r="B26" s="18">
        <v>3</v>
      </c>
      <c r="C26" s="21" t="s">
        <v>24</v>
      </c>
      <c r="D26" s="101">
        <f>VLOOKUP(B22,逆变器参数!A1:I125,4,FALSE)</f>
        <v>200</v>
      </c>
      <c r="E26" s="105">
        <f>VLOOKUP(B22,逆变器参数!A1:I125,5,FALSE)</f>
        <v>850</v>
      </c>
      <c r="F26" s="20" t="s">
        <v>1</v>
      </c>
    </row>
    <row r="27" spans="2:6" ht="13.95" x14ac:dyDescent="0.3">
      <c r="B27" s="18">
        <v>4</v>
      </c>
      <c r="C27" s="21" t="s">
        <v>28</v>
      </c>
      <c r="D27" s="138">
        <f>VLOOKUP(B22,逆变器参数!A1:I125,6,FALSE)</f>
        <v>4</v>
      </c>
      <c r="E27" s="139"/>
      <c r="F27" s="20"/>
    </row>
    <row r="28" spans="2:6" x14ac:dyDescent="0.3">
      <c r="B28" s="18">
        <v>5</v>
      </c>
      <c r="C28" s="21" t="s">
        <v>129</v>
      </c>
      <c r="D28" s="138">
        <f>VLOOKUP(B22,逆变器参数!A1:I125,7,FALSE)</f>
        <v>8</v>
      </c>
      <c r="E28" s="139"/>
      <c r="F28" s="20"/>
    </row>
    <row r="29" spans="2:6" x14ac:dyDescent="0.3">
      <c r="B29" s="18">
        <v>6</v>
      </c>
      <c r="C29" s="21" t="s">
        <v>199</v>
      </c>
      <c r="D29" s="163">
        <f>IF(B22="M2HT-50K-150",D30*1.6,IF(B22="M2HT-29.9K-150",60,IF(LEFT(B22,2)="M2",D30*2,D30*1.5)))</f>
        <v>75</v>
      </c>
      <c r="E29" s="164"/>
      <c r="F29" s="20" t="s">
        <v>200</v>
      </c>
    </row>
    <row r="30" spans="2:6" x14ac:dyDescent="0.3">
      <c r="B30" s="18">
        <v>7</v>
      </c>
      <c r="C30" s="21" t="s">
        <v>203</v>
      </c>
      <c r="D30" s="163">
        <f>VLOOKUP($B$22,逆变器参数!$A$1:$I$125,8,FALSE)</f>
        <v>50</v>
      </c>
      <c r="E30" s="164"/>
      <c r="F30" s="20" t="s">
        <v>200</v>
      </c>
    </row>
    <row r="31" spans="2:6" x14ac:dyDescent="0.3">
      <c r="B31" s="18">
        <v>8</v>
      </c>
      <c r="C31" s="21" t="s">
        <v>43</v>
      </c>
      <c r="D31" s="163">
        <f>VLOOKUP($B$22,逆变器参数!$A$1:$I$125,9,FALSE)</f>
        <v>55</v>
      </c>
      <c r="E31" s="164"/>
      <c r="F31" s="20" t="s">
        <v>22</v>
      </c>
    </row>
    <row r="32" spans="2:6" ht="14.25" thickBot="1" x14ac:dyDescent="0.35">
      <c r="B32" s="132"/>
      <c r="C32" s="133"/>
      <c r="D32" s="133"/>
      <c r="E32" s="133"/>
      <c r="F32" s="134"/>
    </row>
  </sheetData>
  <sheetProtection algorithmName="SHA-512" hashValue="zUfXBvucoA+ZIAcEulU1ATFsMIPq6z++fxDz+TSVjYNhE8T01zy6h9l8eAbHyKQ7JEULyMp5FhYQJTG4XUZw2Q==" saltValue="Eb3UPOXr0Gr4wnTaNyZJEQ==" spinCount="100000" sheet="1" objects="1" scenarios="1"/>
  <protectedRanges>
    <protectedRange sqref="B22:F22" name="区域5"/>
    <protectedRange sqref="E18:E19" name="区域3"/>
    <protectedRange sqref="E6:E13" name="区域1"/>
    <protectedRange sqref="J10:J11" name="区域4"/>
  </protectedRanges>
  <mergeCells count="17">
    <mergeCell ref="B32:F32"/>
    <mergeCell ref="H4:L4"/>
    <mergeCell ref="D31:E31"/>
    <mergeCell ref="D25:E25"/>
    <mergeCell ref="D24:E24"/>
    <mergeCell ref="D27:E27"/>
    <mergeCell ref="D28:E28"/>
    <mergeCell ref="D29:E29"/>
    <mergeCell ref="D30:E30"/>
    <mergeCell ref="B1:F1"/>
    <mergeCell ref="B4:F4"/>
    <mergeCell ref="B21:F21"/>
    <mergeCell ref="C5:D5"/>
    <mergeCell ref="D23:E23"/>
    <mergeCell ref="B2:F2"/>
    <mergeCell ref="B16:F16"/>
    <mergeCell ref="B22:F22"/>
  </mergeCells>
  <phoneticPr fontId="1" type="noConversion"/>
  <conditionalFormatting sqref="L11">
    <cfRule type="cellIs" dxfId="4" priority="7" operator="notEqual">
      <formula>"PASS"</formula>
    </cfRule>
  </conditionalFormatting>
  <conditionalFormatting sqref="L12">
    <cfRule type="cellIs" dxfId="3" priority="6" operator="notEqual">
      <formula>"PASS"</formula>
    </cfRule>
  </conditionalFormatting>
  <conditionalFormatting sqref="L13">
    <cfRule type="cellIs" dxfId="2" priority="2" operator="equal">
      <formula>"Greater than Max. DC Input Voltage of inverter, the inverter production will be stopped, pls reduce the quantity of PV modules in PV"</formula>
    </cfRule>
    <cfRule type="cellIs" dxfId="1" priority="3" operator="equal">
      <formula>"Greater than Max. DC Input Voltage of inverter, the inverter will be damaged, pls reduce the quantity of PV modules in PV"</formula>
    </cfRule>
  </conditionalFormatting>
  <conditionalFormatting sqref="L14">
    <cfRule type="cellIs" dxfId="0" priority="1" operator="notEqual">
      <formula>"PASS"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DE64D6-5246-4707-89BD-ED837B1991CB}">
          <x14:formula1>
            <xm:f>逆变器参数!$A2:$A54</xm:f>
          </x14:formula1>
          <xm:sqref>B22:F22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G10"/>
  <sheetViews>
    <sheetView workbookViewId="0">
      <selection activeCell="E5" sqref="E5"/>
    </sheetView>
  </sheetViews>
  <sheetFormatPr defaultColWidth="9" defaultRowHeight="14.7" customHeight="1" x14ac:dyDescent="0.3"/>
  <cols>
    <col min="1" max="1" width="6.69140625" style="32" customWidth="1"/>
    <col min="2" max="2" width="5" style="47" bestFit="1" customWidth="1"/>
    <col min="3" max="3" width="37" style="47" bestFit="1" customWidth="1"/>
    <col min="4" max="4" width="5" style="47" bestFit="1" customWidth="1"/>
    <col min="5" max="5" width="12.69140625" style="47" customWidth="1"/>
    <col min="6" max="6" width="4.84375" style="47" bestFit="1" customWidth="1"/>
    <col min="7" max="7" width="28" style="32" bestFit="1" customWidth="1"/>
    <col min="8" max="8" width="6.3828125" style="32" customWidth="1"/>
    <col min="9" max="16384" width="9" style="32"/>
  </cols>
  <sheetData>
    <row r="1" spans="2:7" ht="14.7" customHeight="1" thickBot="1" x14ac:dyDescent="0.35"/>
    <row r="2" spans="2:7" ht="14.7" customHeight="1" x14ac:dyDescent="0.3">
      <c r="B2" s="140" t="s">
        <v>73</v>
      </c>
      <c r="C2" s="141"/>
      <c r="D2" s="141"/>
      <c r="E2" s="141"/>
      <c r="F2" s="141"/>
      <c r="G2" s="142"/>
    </row>
    <row r="3" spans="2:7" ht="14.7" customHeight="1" x14ac:dyDescent="0.3">
      <c r="B3" s="33" t="s">
        <v>61</v>
      </c>
      <c r="C3" s="143" t="s">
        <v>56</v>
      </c>
      <c r="D3" s="143"/>
      <c r="E3" s="40" t="s">
        <v>59</v>
      </c>
      <c r="F3" s="40" t="s">
        <v>60</v>
      </c>
      <c r="G3" s="20" t="s">
        <v>75</v>
      </c>
    </row>
    <row r="4" spans="2:7" ht="14.7" customHeight="1" x14ac:dyDescent="0.3">
      <c r="B4" s="18">
        <v>1</v>
      </c>
      <c r="C4" s="21" t="s">
        <v>76</v>
      </c>
      <c r="D4" s="19" t="s">
        <v>30</v>
      </c>
      <c r="E4" s="27">
        <v>2000</v>
      </c>
      <c r="F4" s="80" t="s">
        <v>4</v>
      </c>
      <c r="G4" s="28"/>
    </row>
    <row r="5" spans="2:7" ht="14.7" customHeight="1" x14ac:dyDescent="0.3">
      <c r="B5" s="18">
        <v>2</v>
      </c>
      <c r="C5" s="21" t="s">
        <v>77</v>
      </c>
      <c r="D5" s="19" t="s">
        <v>29</v>
      </c>
      <c r="E5" s="27">
        <v>30</v>
      </c>
      <c r="F5" s="80" t="s">
        <v>79</v>
      </c>
      <c r="G5" s="28"/>
    </row>
    <row r="6" spans="2:7" ht="14.7" customHeight="1" x14ac:dyDescent="0.3">
      <c r="B6" s="18">
        <v>3</v>
      </c>
      <c r="C6" s="21" t="s">
        <v>78</v>
      </c>
      <c r="D6" s="19" t="s">
        <v>31</v>
      </c>
      <c r="E6" s="27">
        <v>30</v>
      </c>
      <c r="F6" s="80" t="s">
        <v>79</v>
      </c>
      <c r="G6" s="28"/>
    </row>
    <row r="7" spans="2:7" ht="14.7" customHeight="1" x14ac:dyDescent="0.3">
      <c r="B7" s="18">
        <v>4</v>
      </c>
      <c r="C7" s="21" t="s">
        <v>80</v>
      </c>
      <c r="D7" s="19" t="s">
        <v>32</v>
      </c>
      <c r="E7" s="56">
        <f>E4*COS(RADIANS(E5))+E4*SIN(RADIANS(E5))*(0.707*TAN(RADIANS(ABS(E6)))+0.4338)/(0.707-0.4338*TAN(RADIANS(ABS(E6))))</f>
        <v>3576.3066957139536</v>
      </c>
      <c r="F7" s="81" t="s">
        <v>4</v>
      </c>
      <c r="G7" s="28"/>
    </row>
    <row r="8" spans="2:7" ht="14.7" customHeight="1" thickBot="1" x14ac:dyDescent="0.35">
      <c r="B8" s="25"/>
      <c r="C8" s="26"/>
      <c r="D8" s="55"/>
      <c r="E8" s="61"/>
      <c r="F8" s="55"/>
      <c r="G8" s="54"/>
    </row>
    <row r="9" spans="2:7" ht="14.7" customHeight="1" x14ac:dyDescent="0.3">
      <c r="B9" s="32"/>
      <c r="C9" s="32"/>
      <c r="E9" s="32"/>
    </row>
    <row r="10" spans="2:7" ht="14.7" customHeight="1" x14ac:dyDescent="0.3">
      <c r="B10" s="32"/>
      <c r="E10" s="32"/>
    </row>
  </sheetData>
  <sheetProtection algorithmName="SHA-512" hashValue="rQPE4bBn6EBx5/fVJgueqhUcGh2QnYihplcbqaXBjXKXYtqQWyn2z2v/0ruNTEkTV9T46G3FD1pH7tsbgXFHUA==" saltValue="o9bm0eL5iQcaIi3UupXSow==" spinCount="100000" sheet="1" objects="1" scenarios="1"/>
  <protectedRanges>
    <protectedRange sqref="E4:E6" name="区域1"/>
  </protectedRanges>
  <mergeCells count="2">
    <mergeCell ref="B2:G2"/>
    <mergeCell ref="C3:D3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21D8F-2C31-44B0-A32B-76382ED27E1C}">
  <sheetPr codeName="Sheet3"/>
  <dimension ref="B1:F26"/>
  <sheetViews>
    <sheetView topLeftCell="A10" workbookViewId="0">
      <selection activeCell="D9" sqref="D9"/>
    </sheetView>
  </sheetViews>
  <sheetFormatPr defaultColWidth="8.84375" defaultRowHeight="14.15" x14ac:dyDescent="0.3"/>
  <cols>
    <col min="1" max="1" width="2.3828125" customWidth="1"/>
    <col min="2" max="2" width="5" style="58" bestFit="1" customWidth="1"/>
    <col min="3" max="3" width="29.3828125" bestFit="1" customWidth="1"/>
    <col min="4" max="4" width="14.15234375" customWidth="1"/>
    <col min="5" max="5" width="6.15234375" style="58" bestFit="1" customWidth="1"/>
    <col min="6" max="6" width="64" customWidth="1"/>
  </cols>
  <sheetData>
    <row r="1" spans="2:6" ht="14.25" thickBot="1" x14ac:dyDescent="0.35">
      <c r="B1" s="16"/>
      <c r="C1" s="17"/>
      <c r="D1" s="17"/>
      <c r="E1" s="16"/>
      <c r="F1" s="32"/>
    </row>
    <row r="2" spans="2:6" ht="13.95" x14ac:dyDescent="0.3">
      <c r="B2" s="144" t="s">
        <v>82</v>
      </c>
      <c r="C2" s="145"/>
      <c r="D2" s="145"/>
      <c r="E2" s="145"/>
      <c r="F2" s="146"/>
    </row>
    <row r="3" spans="2:6" ht="13.95" x14ac:dyDescent="0.3">
      <c r="B3" s="18" t="s">
        <v>83</v>
      </c>
      <c r="C3" s="19" t="s">
        <v>86</v>
      </c>
      <c r="D3" s="19" t="s">
        <v>59</v>
      </c>
      <c r="E3" s="19" t="s">
        <v>60</v>
      </c>
      <c r="F3" s="20" t="s">
        <v>75</v>
      </c>
    </row>
    <row r="4" spans="2:6" s="69" customFormat="1" ht="13.95" x14ac:dyDescent="0.3">
      <c r="B4" s="18">
        <v>1</v>
      </c>
      <c r="C4" s="68" t="s">
        <v>131</v>
      </c>
      <c r="D4" s="71">
        <v>230</v>
      </c>
      <c r="E4" s="19" t="s">
        <v>1</v>
      </c>
      <c r="F4" s="76" t="s">
        <v>132</v>
      </c>
    </row>
    <row r="5" spans="2:6" ht="13.95" x14ac:dyDescent="0.3">
      <c r="B5" s="18">
        <v>2</v>
      </c>
      <c r="C5" s="46" t="s">
        <v>130</v>
      </c>
      <c r="D5" s="72">
        <v>6</v>
      </c>
      <c r="E5" s="19" t="s">
        <v>22</v>
      </c>
      <c r="F5" s="28" t="s">
        <v>133</v>
      </c>
    </row>
    <row r="6" spans="2:6" x14ac:dyDescent="0.3">
      <c r="B6" s="18">
        <v>3</v>
      </c>
      <c r="C6" s="46" t="s">
        <v>87</v>
      </c>
      <c r="D6" s="71">
        <v>45</v>
      </c>
      <c r="E6" s="19" t="s">
        <v>16</v>
      </c>
      <c r="F6" s="28" t="s">
        <v>88</v>
      </c>
    </row>
    <row r="7" spans="2:6" ht="13.95" x14ac:dyDescent="0.3">
      <c r="B7" s="18">
        <v>4</v>
      </c>
      <c r="C7" s="46" t="s">
        <v>89</v>
      </c>
      <c r="D7" s="71">
        <v>30</v>
      </c>
      <c r="E7" s="19" t="s">
        <v>17</v>
      </c>
      <c r="F7" s="28" t="s">
        <v>90</v>
      </c>
    </row>
    <row r="8" spans="2:6" ht="15.45" x14ac:dyDescent="0.3">
      <c r="B8" s="18">
        <v>5</v>
      </c>
      <c r="C8" s="46" t="s">
        <v>135</v>
      </c>
      <c r="D8" s="22">
        <v>1</v>
      </c>
      <c r="E8" s="19" t="s">
        <v>18</v>
      </c>
      <c r="F8" s="28" t="s">
        <v>134</v>
      </c>
    </row>
    <row r="9" spans="2:6" ht="13.95" x14ac:dyDescent="0.3">
      <c r="B9" s="18">
        <v>6</v>
      </c>
      <c r="C9" s="46" t="s">
        <v>91</v>
      </c>
      <c r="D9" s="22">
        <v>1</v>
      </c>
      <c r="E9" s="19"/>
      <c r="F9" s="28" t="s">
        <v>92</v>
      </c>
    </row>
    <row r="10" spans="2:6" x14ac:dyDescent="0.3">
      <c r="B10" s="18">
        <v>7</v>
      </c>
      <c r="C10" s="46" t="s">
        <v>93</v>
      </c>
      <c r="D10" s="77">
        <f>VLOOKUP(D8,直流电阻!$A$4:$G$27,2,FALSE)</f>
        <v>18.100000000000001</v>
      </c>
      <c r="E10" s="19" t="s">
        <v>21</v>
      </c>
      <c r="F10" s="28" t="s">
        <v>94</v>
      </c>
    </row>
    <row r="11" spans="2:6" x14ac:dyDescent="0.3">
      <c r="B11" s="18">
        <v>8</v>
      </c>
      <c r="C11" s="46" t="s">
        <v>95</v>
      </c>
      <c r="D11" s="77">
        <f>((D10*D7/1000)*(235+D6)/(235+20))/D9</f>
        <v>0.59623529411764709</v>
      </c>
      <c r="E11" s="19" t="s">
        <v>6</v>
      </c>
      <c r="F11" s="28" t="s">
        <v>94</v>
      </c>
    </row>
    <row r="12" spans="2:6" ht="14.7" x14ac:dyDescent="0.3">
      <c r="B12" s="18">
        <v>9</v>
      </c>
      <c r="C12" s="46" t="s">
        <v>96</v>
      </c>
      <c r="D12" s="70">
        <f>1000*D5/(D4)*D11</f>
        <v>15.553964194373401</v>
      </c>
      <c r="E12" s="19" t="s">
        <v>7</v>
      </c>
      <c r="F12" s="28" t="s">
        <v>94</v>
      </c>
    </row>
    <row r="13" spans="2:6" ht="13.95" thickBot="1" x14ac:dyDescent="0.35">
      <c r="B13" s="78"/>
      <c r="C13" s="74"/>
      <c r="D13" s="74"/>
      <c r="E13" s="79"/>
      <c r="F13" s="75"/>
    </row>
    <row r="14" spans="2:6" ht="13.95" thickBot="1" x14ac:dyDescent="0.35"/>
    <row r="15" spans="2:6" ht="13.95" x14ac:dyDescent="0.3">
      <c r="B15" s="144" t="s">
        <v>81</v>
      </c>
      <c r="C15" s="145"/>
      <c r="D15" s="145"/>
      <c r="E15" s="145"/>
      <c r="F15" s="146"/>
    </row>
    <row r="16" spans="2:6" ht="13.95" x14ac:dyDescent="0.3">
      <c r="B16" s="18" t="str">
        <f>B3</f>
        <v>NO.</v>
      </c>
      <c r="C16" s="19" t="str">
        <f>C3</f>
        <v>Type</v>
      </c>
      <c r="D16" s="19" t="str">
        <f>D3</f>
        <v>Value</v>
      </c>
      <c r="E16" s="19" t="str">
        <f>E3</f>
        <v>Unit</v>
      </c>
      <c r="F16" s="19" t="str">
        <f>F3</f>
        <v>Remark</v>
      </c>
    </row>
    <row r="17" spans="2:6" ht="13.95" x14ac:dyDescent="0.3">
      <c r="B17" s="18">
        <f t="shared" ref="B17:C25" si="0">B4</f>
        <v>1</v>
      </c>
      <c r="C17" s="68" t="str">
        <f t="shared" si="0"/>
        <v>Voltage</v>
      </c>
      <c r="D17" s="71">
        <v>400</v>
      </c>
      <c r="E17" s="19" t="s">
        <v>1</v>
      </c>
      <c r="F17" s="76" t="str">
        <f>F4</f>
        <v>The local standard voltage</v>
      </c>
    </row>
    <row r="18" spans="2:6" ht="13.95" x14ac:dyDescent="0.3">
      <c r="B18" s="18">
        <f t="shared" si="0"/>
        <v>2</v>
      </c>
      <c r="C18" s="68" t="str">
        <f t="shared" si="0"/>
        <v>Power</v>
      </c>
      <c r="D18" s="72">
        <v>200</v>
      </c>
      <c r="E18" s="19" t="s">
        <v>22</v>
      </c>
      <c r="F18" s="76" t="str">
        <f t="shared" ref="F18:F25" si="1">F5</f>
        <v>The power running on the cable</v>
      </c>
    </row>
    <row r="19" spans="2:6" x14ac:dyDescent="0.3">
      <c r="B19" s="18">
        <f t="shared" si="0"/>
        <v>3</v>
      </c>
      <c r="C19" s="68" t="str">
        <f t="shared" si="0"/>
        <v xml:space="preserve">Environment temperature </v>
      </c>
      <c r="D19" s="71">
        <v>45</v>
      </c>
      <c r="E19" s="19" t="s">
        <v>16</v>
      </c>
      <c r="F19" s="76" t="str">
        <f t="shared" si="1"/>
        <v xml:space="preserve">The maximum environment temperature </v>
      </c>
    </row>
    <row r="20" spans="2:6" ht="13.95" x14ac:dyDescent="0.3">
      <c r="B20" s="18">
        <f t="shared" si="0"/>
        <v>4</v>
      </c>
      <c r="C20" s="68" t="str">
        <f t="shared" si="0"/>
        <v>AC cable length</v>
      </c>
      <c r="D20" s="71">
        <v>250</v>
      </c>
      <c r="E20" s="19" t="s">
        <v>17</v>
      </c>
      <c r="F20" s="76" t="str">
        <f t="shared" si="1"/>
        <v>Inverter output AC cable length</v>
      </c>
    </row>
    <row r="21" spans="2:6" ht="15.45" x14ac:dyDescent="0.3">
      <c r="B21" s="18">
        <f t="shared" si="0"/>
        <v>5</v>
      </c>
      <c r="C21" s="68" t="str">
        <f t="shared" si="0"/>
        <v>AC cable specification</v>
      </c>
      <c r="D21" s="22">
        <v>50</v>
      </c>
      <c r="E21" s="19" t="s">
        <v>18</v>
      </c>
      <c r="F21" s="76" t="str">
        <f t="shared" si="1"/>
        <v>Sectional cross sectional area of AC cable</v>
      </c>
    </row>
    <row r="22" spans="2:6" ht="13.95" x14ac:dyDescent="0.3">
      <c r="B22" s="18">
        <f t="shared" si="0"/>
        <v>6</v>
      </c>
      <c r="C22" s="68" t="str">
        <f t="shared" si="0"/>
        <v>Number of cables in parallel</v>
      </c>
      <c r="D22" s="22">
        <v>1</v>
      </c>
      <c r="E22" s="19"/>
      <c r="F22" s="76" t="str">
        <f t="shared" si="1"/>
        <v>If multiple cables are used in parallel, fill in the corresponding number</v>
      </c>
    </row>
    <row r="23" spans="2:6" x14ac:dyDescent="0.3">
      <c r="B23" s="18">
        <f t="shared" si="0"/>
        <v>7</v>
      </c>
      <c r="C23" s="68" t="str">
        <f t="shared" si="0"/>
        <v>Standard DC resistance</v>
      </c>
      <c r="D23" s="77">
        <f>VLOOKUP(D21,直流电阻!$A$4:$G$27,2,FALSE)</f>
        <v>0.38700000000000001</v>
      </c>
      <c r="E23" s="19" t="s">
        <v>21</v>
      </c>
      <c r="F23" s="76" t="str">
        <f t="shared" si="1"/>
        <v>Autocomputed value</v>
      </c>
    </row>
    <row r="24" spans="2:6" x14ac:dyDescent="0.3">
      <c r="B24" s="18">
        <f t="shared" si="0"/>
        <v>8</v>
      </c>
      <c r="C24" s="68" t="str">
        <f t="shared" si="0"/>
        <v>AC cable resistance</v>
      </c>
      <c r="D24" s="77">
        <f>((D23*D20/1000)*(235+D19)/(235+20))/D22</f>
        <v>0.10623529411764705</v>
      </c>
      <c r="E24" s="19" t="s">
        <v>6</v>
      </c>
      <c r="F24" s="76" t="str">
        <f t="shared" si="1"/>
        <v>Autocomputed value</v>
      </c>
    </row>
    <row r="25" spans="2:6" ht="14.7" x14ac:dyDescent="0.3">
      <c r="B25" s="18">
        <f t="shared" si="0"/>
        <v>9</v>
      </c>
      <c r="C25" s="68" t="str">
        <f t="shared" si="0"/>
        <v>AC cable voltage drop</v>
      </c>
      <c r="D25" s="70">
        <f>1.732*(1000*D18/(1.732*D17))*D24</f>
        <v>53.117647058823529</v>
      </c>
      <c r="E25" s="19" t="s">
        <v>1</v>
      </c>
      <c r="F25" s="76" t="str">
        <f t="shared" si="1"/>
        <v>Autocomputed value</v>
      </c>
    </row>
    <row r="26" spans="2:6" ht="13.95" thickBot="1" x14ac:dyDescent="0.35">
      <c r="B26" s="78"/>
      <c r="C26" s="74"/>
      <c r="D26" s="74"/>
      <c r="E26" s="79"/>
      <c r="F26" s="75"/>
    </row>
  </sheetData>
  <sheetProtection algorithmName="SHA-512" hashValue="Ia46vGZKYqo5gy6Rybrrc/JOFaJmqZt78FwdKx31i8kky2AltH7FtgqTTlCtyPfds/FcW8c635FZPNR14qjGyg==" saltValue="hTCYFdlOTZzy8h8xnfqn/A==" spinCount="100000" sheet="1" objects="1" scenarios="1"/>
  <protectedRanges>
    <protectedRange sqref="D17:D22" name="区域2"/>
    <protectedRange sqref="D4:D9" name="区域1"/>
  </protectedRanges>
  <mergeCells count="2">
    <mergeCell ref="B2:F2"/>
    <mergeCell ref="B15:F15"/>
  </mergeCells>
  <phoneticPr fontId="4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9DBCD3-FFF2-4A89-8167-2C429AABCBD8}">
          <x14:formula1>
            <xm:f>直流电阻!$A$4:$A$27</xm:f>
          </x14:formula1>
          <xm:sqref>D8 D21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6CBF-261B-498D-BE5F-F15AD778A52F}">
  <sheetPr codeName="Sheet4"/>
  <dimension ref="B1:AH19"/>
  <sheetViews>
    <sheetView workbookViewId="0">
      <selection activeCell="F10" sqref="F10:F11"/>
    </sheetView>
  </sheetViews>
  <sheetFormatPr defaultColWidth="8.84375" defaultRowHeight="14.15" x14ac:dyDescent="0.3"/>
  <cols>
    <col min="1" max="1" width="2" customWidth="1"/>
    <col min="2" max="2" width="5" bestFit="1" customWidth="1"/>
    <col min="3" max="3" width="38.23046875" bestFit="1" customWidth="1"/>
    <col min="4" max="4" width="14.23046875" customWidth="1"/>
    <col min="5" max="5" width="11" style="58" bestFit="1" customWidth="1"/>
    <col min="6" max="6" width="61" customWidth="1"/>
    <col min="7" max="7" width="5.15234375" customWidth="1"/>
    <col min="8" max="8" width="26" hidden="1" customWidth="1"/>
    <col min="9" max="9" width="11" hidden="1" customWidth="1"/>
    <col min="10" max="10" width="10.84375" hidden="1" customWidth="1"/>
    <col min="11" max="17" width="9.69140625" hidden="1" customWidth="1"/>
    <col min="18" max="34" width="10" hidden="1" customWidth="1"/>
  </cols>
  <sheetData>
    <row r="1" spans="2:34" ht="15" thickBot="1" x14ac:dyDescent="0.35">
      <c r="B1" s="36"/>
      <c r="C1" s="37"/>
      <c r="D1" s="38"/>
      <c r="E1" s="36"/>
      <c r="F1" s="34"/>
      <c r="G1" s="39"/>
      <c r="H1" s="39"/>
      <c r="I1" s="39"/>
      <c r="J1" s="39"/>
      <c r="K1" s="39"/>
    </row>
    <row r="2" spans="2:34" ht="14.25" thickBot="1" x14ac:dyDescent="0.35">
      <c r="B2" s="144" t="s">
        <v>97</v>
      </c>
      <c r="C2" s="145"/>
      <c r="D2" s="145"/>
      <c r="E2" s="145"/>
      <c r="F2" s="146"/>
      <c r="G2" s="32"/>
      <c r="H2" s="39"/>
      <c r="I2" s="39"/>
      <c r="J2" s="39"/>
      <c r="K2" s="39"/>
    </row>
    <row r="3" spans="2:34" ht="13.95" x14ac:dyDescent="0.3">
      <c r="B3" s="33" t="s">
        <v>83</v>
      </c>
      <c r="C3" s="40" t="s">
        <v>85</v>
      </c>
      <c r="D3" s="40" t="s">
        <v>58</v>
      </c>
      <c r="E3" s="40" t="s">
        <v>84</v>
      </c>
      <c r="F3" s="41" t="s">
        <v>74</v>
      </c>
      <c r="G3" s="39"/>
      <c r="H3" s="89" t="s">
        <v>117</v>
      </c>
      <c r="I3" s="90" t="s">
        <v>116</v>
      </c>
      <c r="J3" s="90">
        <v>1</v>
      </c>
      <c r="K3" s="90">
        <v>2</v>
      </c>
      <c r="L3" s="90">
        <v>3</v>
      </c>
      <c r="M3" s="90">
        <v>4</v>
      </c>
      <c r="N3" s="90">
        <v>5</v>
      </c>
      <c r="O3" s="90">
        <v>6</v>
      </c>
      <c r="P3" s="90">
        <v>7</v>
      </c>
      <c r="Q3" s="90">
        <v>8</v>
      </c>
      <c r="R3" s="90">
        <v>9</v>
      </c>
      <c r="S3" s="90">
        <v>10</v>
      </c>
      <c r="T3" s="90">
        <v>11</v>
      </c>
      <c r="U3" s="90">
        <v>12</v>
      </c>
      <c r="V3" s="90">
        <v>13</v>
      </c>
      <c r="W3" s="90">
        <v>14</v>
      </c>
      <c r="X3" s="90">
        <v>15</v>
      </c>
      <c r="Y3" s="90">
        <v>16</v>
      </c>
      <c r="Z3" s="90">
        <v>17</v>
      </c>
      <c r="AA3" s="90">
        <v>18</v>
      </c>
      <c r="AB3" s="90">
        <v>19</v>
      </c>
      <c r="AC3" s="90">
        <v>20</v>
      </c>
      <c r="AD3" s="90">
        <v>21</v>
      </c>
      <c r="AE3" s="90">
        <v>22</v>
      </c>
      <c r="AF3" s="90">
        <v>23</v>
      </c>
      <c r="AG3" s="90">
        <v>24</v>
      </c>
      <c r="AH3" s="91">
        <v>25</v>
      </c>
    </row>
    <row r="4" spans="2:34" ht="15" x14ac:dyDescent="0.3">
      <c r="B4" s="33">
        <v>1</v>
      </c>
      <c r="C4" s="42" t="s">
        <v>98</v>
      </c>
      <c r="D4" s="43">
        <v>5</v>
      </c>
      <c r="E4" s="40" t="s">
        <v>20</v>
      </c>
      <c r="F4" s="30"/>
      <c r="G4" s="39"/>
      <c r="H4" s="92" t="s">
        <v>118</v>
      </c>
      <c r="I4" s="83">
        <f t="shared" ref="I4:I6" si="0">SUM(J4:AH4)</f>
        <v>15000</v>
      </c>
      <c r="J4" s="83">
        <f>D5</f>
        <v>15000</v>
      </c>
      <c r="K4" s="8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4"/>
    </row>
    <row r="5" spans="2:34" ht="15" x14ac:dyDescent="0.3">
      <c r="B5" s="33">
        <v>2</v>
      </c>
      <c r="C5" s="42" t="s">
        <v>99</v>
      </c>
      <c r="D5" s="43">
        <v>15000</v>
      </c>
      <c r="E5" s="40" t="s">
        <v>100</v>
      </c>
      <c r="F5" s="30" t="s">
        <v>139</v>
      </c>
      <c r="G5" s="39"/>
      <c r="H5" s="95" t="s">
        <v>119</v>
      </c>
      <c r="I5" s="83">
        <f t="shared" si="0"/>
        <v>137695.00640064111</v>
      </c>
      <c r="J5" s="93">
        <f>IF(J3&lt;$D$9,D6*(1-D7),0)</f>
        <v>5880</v>
      </c>
      <c r="K5" s="93">
        <f>IF(J3&lt;$D$9,J5*(1-$D$8),0)</f>
        <v>5847.66</v>
      </c>
      <c r="L5" s="93">
        <f t="shared" ref="L5:AH5" si="1">IF(K3&lt;$D$9,K5*(1-$D$8),0)</f>
        <v>5815.4978700000001</v>
      </c>
      <c r="M5" s="93">
        <f t="shared" si="1"/>
        <v>5783.5126317150007</v>
      </c>
      <c r="N5" s="93">
        <f t="shared" si="1"/>
        <v>5751.7033122405683</v>
      </c>
      <c r="O5" s="93">
        <f t="shared" si="1"/>
        <v>5720.0689440232454</v>
      </c>
      <c r="P5" s="93">
        <f t="shared" si="1"/>
        <v>5688.6085648311182</v>
      </c>
      <c r="Q5" s="93">
        <f t="shared" si="1"/>
        <v>5657.3212177245478</v>
      </c>
      <c r="R5" s="93">
        <f t="shared" si="1"/>
        <v>5626.2059510270628</v>
      </c>
      <c r="S5" s="93">
        <f t="shared" si="1"/>
        <v>5595.2618182964143</v>
      </c>
      <c r="T5" s="93">
        <f t="shared" si="1"/>
        <v>5564.487878295784</v>
      </c>
      <c r="U5" s="93">
        <f t="shared" si="1"/>
        <v>5533.8831949651576</v>
      </c>
      <c r="V5" s="93">
        <f t="shared" si="1"/>
        <v>5503.4468373928494</v>
      </c>
      <c r="W5" s="93">
        <f t="shared" si="1"/>
        <v>5473.1778797871893</v>
      </c>
      <c r="X5" s="93">
        <f t="shared" si="1"/>
        <v>5443.07540144836</v>
      </c>
      <c r="Y5" s="93">
        <f t="shared" si="1"/>
        <v>5413.138486740394</v>
      </c>
      <c r="Z5" s="93">
        <f t="shared" si="1"/>
        <v>5383.3662250633224</v>
      </c>
      <c r="AA5" s="93">
        <f t="shared" si="1"/>
        <v>5353.7577108254745</v>
      </c>
      <c r="AB5" s="93">
        <f t="shared" si="1"/>
        <v>5324.3120434159346</v>
      </c>
      <c r="AC5" s="93">
        <f t="shared" si="1"/>
        <v>5295.0283271771468</v>
      </c>
      <c r="AD5" s="93">
        <f t="shared" si="1"/>
        <v>5265.9056713776727</v>
      </c>
      <c r="AE5" s="93">
        <f t="shared" si="1"/>
        <v>5236.9431901850958</v>
      </c>
      <c r="AF5" s="93">
        <f t="shared" si="1"/>
        <v>5208.1400026390784</v>
      </c>
      <c r="AG5" s="93">
        <f t="shared" si="1"/>
        <v>5179.4952326245639</v>
      </c>
      <c r="AH5" s="93">
        <f t="shared" si="1"/>
        <v>5151.0080088451286</v>
      </c>
    </row>
    <row r="6" spans="2:34" ht="13.95" x14ac:dyDescent="0.3">
      <c r="B6" s="33">
        <v>3</v>
      </c>
      <c r="C6" s="42" t="s">
        <v>141</v>
      </c>
      <c r="D6" s="43">
        <v>6000</v>
      </c>
      <c r="E6" s="40" t="s">
        <v>101</v>
      </c>
      <c r="F6" s="30" t="s">
        <v>143</v>
      </c>
      <c r="G6" s="39"/>
      <c r="H6" s="92" t="s">
        <v>120</v>
      </c>
      <c r="I6" s="83">
        <f t="shared" si="0"/>
        <v>72978.353392339806</v>
      </c>
      <c r="J6" s="83">
        <f t="shared" ref="J6:AH6" si="2">J5*$D$13</f>
        <v>3116.4</v>
      </c>
      <c r="K6" s="83">
        <f t="shared" si="2"/>
        <v>3099.2598000000003</v>
      </c>
      <c r="L6" s="83">
        <f t="shared" si="2"/>
        <v>3082.2138711000002</v>
      </c>
      <c r="M6" s="83">
        <f t="shared" si="2"/>
        <v>3065.2616948089503</v>
      </c>
      <c r="N6" s="83">
        <f t="shared" si="2"/>
        <v>3048.4027554875015</v>
      </c>
      <c r="O6" s="83">
        <f t="shared" si="2"/>
        <v>3031.6365403323202</v>
      </c>
      <c r="P6" s="83">
        <f t="shared" si="2"/>
        <v>3014.9625393604929</v>
      </c>
      <c r="Q6" s="83">
        <f t="shared" si="2"/>
        <v>2998.3802453940107</v>
      </c>
      <c r="R6" s="83">
        <f t="shared" si="2"/>
        <v>2981.8891540443433</v>
      </c>
      <c r="S6" s="83">
        <f t="shared" si="2"/>
        <v>2965.4887636970998</v>
      </c>
      <c r="T6" s="83">
        <f t="shared" si="2"/>
        <v>2949.1785754967655</v>
      </c>
      <c r="U6" s="83">
        <f t="shared" si="2"/>
        <v>2932.9580933315337</v>
      </c>
      <c r="V6" s="83">
        <f t="shared" si="2"/>
        <v>2916.8268238182104</v>
      </c>
      <c r="W6" s="83">
        <f t="shared" si="2"/>
        <v>2900.7842762872106</v>
      </c>
      <c r="X6" s="83">
        <f t="shared" si="2"/>
        <v>2884.8299627676311</v>
      </c>
      <c r="Y6" s="83">
        <f t="shared" si="2"/>
        <v>2868.963397972409</v>
      </c>
      <c r="Z6" s="83">
        <f t="shared" si="2"/>
        <v>2853.184099283561</v>
      </c>
      <c r="AA6" s="83">
        <f t="shared" si="2"/>
        <v>2837.4915867375016</v>
      </c>
      <c r="AB6" s="83">
        <f t="shared" si="2"/>
        <v>2821.8853830104454</v>
      </c>
      <c r="AC6" s="83">
        <f t="shared" si="2"/>
        <v>2806.365013403888</v>
      </c>
      <c r="AD6" s="83">
        <f t="shared" si="2"/>
        <v>2790.9300058301665</v>
      </c>
      <c r="AE6" s="83">
        <f t="shared" si="2"/>
        <v>2775.5798907981007</v>
      </c>
      <c r="AF6" s="83">
        <f t="shared" si="2"/>
        <v>2760.3142013987117</v>
      </c>
      <c r="AG6" s="83">
        <f t="shared" si="2"/>
        <v>2745.1324732910189</v>
      </c>
      <c r="AH6" s="96">
        <f t="shared" si="2"/>
        <v>2730.0342446879185</v>
      </c>
    </row>
    <row r="7" spans="2:34" x14ac:dyDescent="0.3">
      <c r="B7" s="33">
        <v>4</v>
      </c>
      <c r="C7" s="42" t="s">
        <v>102</v>
      </c>
      <c r="D7" s="44">
        <v>0.02</v>
      </c>
      <c r="E7" s="40" t="s">
        <v>104</v>
      </c>
      <c r="F7" s="147" t="s">
        <v>136</v>
      </c>
      <c r="G7" s="39"/>
      <c r="H7" s="92" t="s">
        <v>121</v>
      </c>
      <c r="I7" s="83">
        <f>SUM(J7:AH7)</f>
        <v>57978.353392339792</v>
      </c>
      <c r="J7" s="83">
        <f>-J4+J6</f>
        <v>-11883.6</v>
      </c>
      <c r="K7" s="83">
        <f>-K4+K6</f>
        <v>3099.2598000000003</v>
      </c>
      <c r="L7" s="83">
        <f t="shared" ref="L7:AH7" si="3">-L4+L6</f>
        <v>3082.2138711000002</v>
      </c>
      <c r="M7" s="83">
        <f t="shared" si="3"/>
        <v>3065.2616948089503</v>
      </c>
      <c r="N7" s="83">
        <f t="shared" si="3"/>
        <v>3048.4027554875015</v>
      </c>
      <c r="O7" s="83">
        <f t="shared" si="3"/>
        <v>3031.6365403323202</v>
      </c>
      <c r="P7" s="83">
        <f t="shared" si="3"/>
        <v>3014.9625393604929</v>
      </c>
      <c r="Q7" s="83">
        <f t="shared" si="3"/>
        <v>2998.3802453940107</v>
      </c>
      <c r="R7" s="83">
        <f t="shared" si="3"/>
        <v>2981.8891540443433</v>
      </c>
      <c r="S7" s="83">
        <f t="shared" si="3"/>
        <v>2965.4887636970998</v>
      </c>
      <c r="T7" s="83">
        <f t="shared" si="3"/>
        <v>2949.1785754967655</v>
      </c>
      <c r="U7" s="83">
        <f t="shared" si="3"/>
        <v>2932.9580933315337</v>
      </c>
      <c r="V7" s="83">
        <f t="shared" si="3"/>
        <v>2916.8268238182104</v>
      </c>
      <c r="W7" s="83">
        <f t="shared" si="3"/>
        <v>2900.7842762872106</v>
      </c>
      <c r="X7" s="83">
        <f t="shared" si="3"/>
        <v>2884.8299627676311</v>
      </c>
      <c r="Y7" s="83">
        <f t="shared" si="3"/>
        <v>2868.963397972409</v>
      </c>
      <c r="Z7" s="83">
        <f t="shared" si="3"/>
        <v>2853.184099283561</v>
      </c>
      <c r="AA7" s="83">
        <f t="shared" si="3"/>
        <v>2837.4915867375016</v>
      </c>
      <c r="AB7" s="83">
        <f t="shared" si="3"/>
        <v>2821.8853830104454</v>
      </c>
      <c r="AC7" s="83">
        <f t="shared" si="3"/>
        <v>2806.365013403888</v>
      </c>
      <c r="AD7" s="83">
        <f t="shared" si="3"/>
        <v>2790.9300058301665</v>
      </c>
      <c r="AE7" s="83">
        <f t="shared" si="3"/>
        <v>2775.5798907981007</v>
      </c>
      <c r="AF7" s="83">
        <f t="shared" si="3"/>
        <v>2760.3142013987117</v>
      </c>
      <c r="AG7" s="83">
        <f t="shared" si="3"/>
        <v>2745.1324732910189</v>
      </c>
      <c r="AH7" s="83">
        <f t="shared" si="3"/>
        <v>2730.0342446879185</v>
      </c>
    </row>
    <row r="8" spans="2:34" x14ac:dyDescent="0.3">
      <c r="B8" s="33">
        <v>5</v>
      </c>
      <c r="C8" s="42" t="s">
        <v>103</v>
      </c>
      <c r="D8" s="44">
        <v>5.4999999999999997E-3</v>
      </c>
      <c r="E8" s="40" t="s">
        <v>104</v>
      </c>
      <c r="F8" s="148"/>
      <c r="G8" s="39"/>
      <c r="H8" s="95" t="s">
        <v>122</v>
      </c>
      <c r="I8" s="83"/>
      <c r="J8" s="83">
        <f t="shared" ref="J8:AH8" si="4">IF(J3&gt;$D$9,0,(I8+J7))</f>
        <v>-11883.6</v>
      </c>
      <c r="K8" s="83">
        <f t="shared" si="4"/>
        <v>-8784.3402000000006</v>
      </c>
      <c r="L8" s="83">
        <f t="shared" si="4"/>
        <v>-5702.1263288999999</v>
      </c>
      <c r="M8" s="83">
        <f t="shared" si="4"/>
        <v>-2636.8646340910495</v>
      </c>
      <c r="N8" s="83">
        <f t="shared" si="4"/>
        <v>411.53812139645197</v>
      </c>
      <c r="O8" s="83">
        <f t="shared" si="4"/>
        <v>3443.1746617287722</v>
      </c>
      <c r="P8" s="83">
        <f t="shared" si="4"/>
        <v>6458.1372010892646</v>
      </c>
      <c r="Q8" s="83">
        <f t="shared" si="4"/>
        <v>9456.5174464832744</v>
      </c>
      <c r="R8" s="83">
        <f t="shared" si="4"/>
        <v>12438.406600527618</v>
      </c>
      <c r="S8" s="83">
        <f t="shared" si="4"/>
        <v>15403.895364224718</v>
      </c>
      <c r="T8" s="83">
        <f t="shared" si="4"/>
        <v>18353.073939721482</v>
      </c>
      <c r="U8" s="83">
        <f t="shared" si="4"/>
        <v>21286.032033053016</v>
      </c>
      <c r="V8" s="83">
        <f t="shared" si="4"/>
        <v>24202.858856871226</v>
      </c>
      <c r="W8" s="83">
        <f t="shared" si="4"/>
        <v>27103.643133158435</v>
      </c>
      <c r="X8" s="83">
        <f t="shared" si="4"/>
        <v>29988.473095926067</v>
      </c>
      <c r="Y8" s="83">
        <f t="shared" si="4"/>
        <v>32857.436493898473</v>
      </c>
      <c r="Z8" s="83">
        <f t="shared" si="4"/>
        <v>35710.620593182037</v>
      </c>
      <c r="AA8" s="83">
        <f t="shared" si="4"/>
        <v>38548.112179919539</v>
      </c>
      <c r="AB8" s="83">
        <f t="shared" si="4"/>
        <v>41369.997562929988</v>
      </c>
      <c r="AC8" s="83">
        <f t="shared" si="4"/>
        <v>44176.362576333879</v>
      </c>
      <c r="AD8" s="83">
        <f t="shared" si="4"/>
        <v>46967.292582164046</v>
      </c>
      <c r="AE8" s="83">
        <f t="shared" si="4"/>
        <v>49742.872472962146</v>
      </c>
      <c r="AF8" s="83">
        <f t="shared" si="4"/>
        <v>52503.186674360855</v>
      </c>
      <c r="AG8" s="83">
        <f t="shared" si="4"/>
        <v>55248.319147651877</v>
      </c>
      <c r="AH8" s="96">
        <f t="shared" si="4"/>
        <v>57978.353392339792</v>
      </c>
    </row>
    <row r="9" spans="2:34" ht="15" x14ac:dyDescent="0.3">
      <c r="B9" s="33">
        <v>6</v>
      </c>
      <c r="C9" s="21" t="s">
        <v>105</v>
      </c>
      <c r="D9" s="22">
        <v>25</v>
      </c>
      <c r="E9" s="85" t="s">
        <v>106</v>
      </c>
      <c r="F9" s="45"/>
      <c r="G9" s="39"/>
      <c r="H9" s="92" t="s">
        <v>123</v>
      </c>
      <c r="I9" s="86">
        <f>IRR(J7:AH7)</f>
        <v>0.25430802406449504</v>
      </c>
      <c r="J9" s="93"/>
      <c r="K9" s="8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4"/>
    </row>
    <row r="10" spans="2:34" ht="14.6" thickBot="1" x14ac:dyDescent="0.35">
      <c r="B10" s="33">
        <v>7</v>
      </c>
      <c r="C10" s="21" t="s">
        <v>107</v>
      </c>
      <c r="D10" s="50">
        <v>0.53</v>
      </c>
      <c r="E10" s="85" t="s">
        <v>108</v>
      </c>
      <c r="F10" s="149" t="s">
        <v>137</v>
      </c>
      <c r="G10" s="39"/>
      <c r="H10" s="97" t="s">
        <v>115</v>
      </c>
      <c r="I10" s="84">
        <f>SUMIF(J10:AH10,"&lt;9E307")</f>
        <v>4.864998770042563</v>
      </c>
      <c r="J10" s="84">
        <f t="shared" ref="J10:AH10" si="5">IF(J8&lt;0,1,0)+IF(J8&gt;0,1-J8/J7)*IF(J8/J7&lt;1,1,0)</f>
        <v>1</v>
      </c>
      <c r="K10" s="84">
        <f t="shared" si="5"/>
        <v>1</v>
      </c>
      <c r="L10" s="84">
        <f t="shared" si="5"/>
        <v>1</v>
      </c>
      <c r="M10" s="84">
        <f t="shared" si="5"/>
        <v>1</v>
      </c>
      <c r="N10" s="84">
        <f t="shared" si="5"/>
        <v>0.8649987700425632</v>
      </c>
      <c r="O10" s="84">
        <f t="shared" si="5"/>
        <v>0</v>
      </c>
      <c r="P10" s="84">
        <f t="shared" si="5"/>
        <v>0</v>
      </c>
      <c r="Q10" s="84">
        <f t="shared" si="5"/>
        <v>0</v>
      </c>
      <c r="R10" s="84">
        <f t="shared" si="5"/>
        <v>0</v>
      </c>
      <c r="S10" s="84">
        <f t="shared" si="5"/>
        <v>0</v>
      </c>
      <c r="T10" s="84">
        <f t="shared" si="5"/>
        <v>0</v>
      </c>
      <c r="U10" s="84">
        <f t="shared" si="5"/>
        <v>0</v>
      </c>
      <c r="V10" s="84">
        <f t="shared" si="5"/>
        <v>0</v>
      </c>
      <c r="W10" s="84">
        <f t="shared" si="5"/>
        <v>0</v>
      </c>
      <c r="X10" s="84">
        <f t="shared" si="5"/>
        <v>0</v>
      </c>
      <c r="Y10" s="84">
        <f t="shared" si="5"/>
        <v>0</v>
      </c>
      <c r="Z10" s="84">
        <f t="shared" si="5"/>
        <v>0</v>
      </c>
      <c r="AA10" s="84">
        <f t="shared" si="5"/>
        <v>0</v>
      </c>
      <c r="AB10" s="84">
        <f t="shared" si="5"/>
        <v>0</v>
      </c>
      <c r="AC10" s="84">
        <f t="shared" si="5"/>
        <v>0</v>
      </c>
      <c r="AD10" s="84">
        <f t="shared" si="5"/>
        <v>0</v>
      </c>
      <c r="AE10" s="84">
        <f t="shared" si="5"/>
        <v>0</v>
      </c>
      <c r="AF10" s="84">
        <f t="shared" si="5"/>
        <v>0</v>
      </c>
      <c r="AG10" s="84">
        <f t="shared" si="5"/>
        <v>0</v>
      </c>
      <c r="AH10" s="98">
        <f t="shared" si="5"/>
        <v>0</v>
      </c>
    </row>
    <row r="11" spans="2:34" x14ac:dyDescent="0.3">
      <c r="B11" s="33">
        <v>8</v>
      </c>
      <c r="C11" s="21" t="s">
        <v>109</v>
      </c>
      <c r="D11" s="88">
        <v>1</v>
      </c>
      <c r="E11" s="85" t="s">
        <v>19</v>
      </c>
      <c r="F11" s="150"/>
      <c r="G11" s="39"/>
      <c r="H11" s="39"/>
      <c r="I11" s="39"/>
      <c r="J11" s="39"/>
      <c r="K11" s="39"/>
    </row>
    <row r="12" spans="2:34" ht="13.95" x14ac:dyDescent="0.3">
      <c r="B12" s="33">
        <v>9</v>
      </c>
      <c r="C12" s="21" t="s">
        <v>110</v>
      </c>
      <c r="D12" s="49">
        <v>0</v>
      </c>
      <c r="E12" s="85" t="s">
        <v>108</v>
      </c>
      <c r="F12" s="45" t="s">
        <v>138</v>
      </c>
      <c r="G12" s="39"/>
      <c r="H12" s="39"/>
      <c r="I12" s="39"/>
      <c r="J12" s="39"/>
      <c r="K12" s="39"/>
    </row>
    <row r="13" spans="2:34" ht="14.7" x14ac:dyDescent="0.3">
      <c r="B13" s="33">
        <v>10</v>
      </c>
      <c r="C13" s="48" t="s">
        <v>113</v>
      </c>
      <c r="D13" s="51">
        <f>D10*D11+D12*(1-D11)</f>
        <v>0.53</v>
      </c>
      <c r="E13" s="85" t="s">
        <v>111</v>
      </c>
      <c r="F13" s="45"/>
      <c r="G13" s="39"/>
      <c r="H13" s="39"/>
      <c r="I13" s="39"/>
      <c r="J13" s="39"/>
      <c r="K13" s="39"/>
    </row>
    <row r="14" spans="2:34" ht="14.7" x14ac:dyDescent="0.3">
      <c r="B14" s="33">
        <v>11</v>
      </c>
      <c r="C14" s="48" t="s">
        <v>114</v>
      </c>
      <c r="D14" s="29">
        <f>D6*D13</f>
        <v>3180</v>
      </c>
      <c r="E14" s="85" t="s">
        <v>112</v>
      </c>
      <c r="F14" s="45"/>
      <c r="G14" s="39"/>
      <c r="H14" s="39"/>
      <c r="I14" s="39"/>
      <c r="J14" s="39"/>
      <c r="K14" s="39"/>
    </row>
    <row r="15" spans="2:34" ht="14.7" x14ac:dyDescent="0.3">
      <c r="B15" s="33">
        <v>12</v>
      </c>
      <c r="C15" s="21" t="s">
        <v>123</v>
      </c>
      <c r="D15" s="87">
        <f>I9</f>
        <v>0.25430802406449504</v>
      </c>
      <c r="E15" s="85" t="s">
        <v>104</v>
      </c>
      <c r="F15" s="82"/>
      <c r="G15" s="39"/>
      <c r="H15" s="39"/>
      <c r="I15" s="39"/>
      <c r="J15" s="39"/>
      <c r="K15" s="39"/>
    </row>
    <row r="16" spans="2:34" ht="14.7" x14ac:dyDescent="0.3">
      <c r="B16" s="33">
        <v>13</v>
      </c>
      <c r="C16" s="21" t="s">
        <v>115</v>
      </c>
      <c r="D16" s="29">
        <f>I10</f>
        <v>4.864998770042563</v>
      </c>
      <c r="E16" s="85" t="s">
        <v>106</v>
      </c>
      <c r="F16" s="82"/>
      <c r="G16" s="39"/>
      <c r="H16" s="39"/>
      <c r="I16" s="39"/>
      <c r="J16" s="39"/>
      <c r="K16" s="39"/>
    </row>
    <row r="17" spans="2:11" ht="14.25" thickBot="1" x14ac:dyDescent="0.35">
      <c r="B17" s="73"/>
      <c r="C17" s="74"/>
      <c r="D17" s="74"/>
      <c r="E17" s="79"/>
      <c r="F17" s="75"/>
      <c r="G17" s="39"/>
      <c r="H17" s="39"/>
      <c r="I17" s="39"/>
      <c r="J17" s="39"/>
      <c r="K17" s="39"/>
    </row>
    <row r="18" spans="2:11" ht="13.95" x14ac:dyDescent="0.3">
      <c r="G18" s="39"/>
      <c r="H18" s="39"/>
      <c r="I18" s="39"/>
      <c r="J18" s="39"/>
      <c r="K18" s="39"/>
    </row>
    <row r="19" spans="2:11" ht="15" x14ac:dyDescent="0.3">
      <c r="B19" s="151" t="s">
        <v>142</v>
      </c>
      <c r="C19" s="151"/>
      <c r="D19" s="151"/>
      <c r="E19" s="151"/>
      <c r="F19" s="106" t="s">
        <v>140</v>
      </c>
    </row>
  </sheetData>
  <sheetProtection algorithmName="SHA-512" hashValue="fx8+HVM1o9TA5W9JbkgJRzv85yJDQ7ug7LGBUYZfWUBMNDeWa0AgeL0SkI+Ktly+L9tA5wgv/cO002qMVQZqOA==" saltValue="qEHOgRfAfN8PnjyCIliyIA==" spinCount="100000" sheet="1" objects="1" scenarios="1"/>
  <protectedRanges>
    <protectedRange sqref="D4:D12" name="区域1"/>
  </protectedRanges>
  <mergeCells count="4">
    <mergeCell ref="B2:F2"/>
    <mergeCell ref="F7:F8"/>
    <mergeCell ref="F10:F11"/>
    <mergeCell ref="B19:E19"/>
  </mergeCells>
  <phoneticPr fontId="1" type="noConversion"/>
  <dataValidations count="1">
    <dataValidation type="whole" operator="lessThanOrEqual" allowBlank="1" showInputMessage="1" showErrorMessage="1" errorTitle="Max. 25years" error="Max. 25years" sqref="D9" xr:uid="{797F3117-C9DE-48E4-B147-FB85139787BD}">
      <formula1>25</formula1>
    </dataValidation>
  </dataValidations>
  <hyperlinks>
    <hyperlink ref="F19" r:id="rId1" xr:uid="{F29B1481-B824-4F76-9C93-235B72F5F5A1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C1BAD-7DE5-412E-A853-417B397E0253}">
  <sheetPr codeName="Sheet5"/>
  <dimension ref="A1:I54"/>
  <sheetViews>
    <sheetView workbookViewId="0">
      <pane ySplit="1" topLeftCell="A2" activePane="bottomLeft" state="frozen"/>
      <selection pane="bottomLeft" activeCell="D41" sqref="D41"/>
    </sheetView>
  </sheetViews>
  <sheetFormatPr defaultColWidth="8.69140625" defaultRowHeight="16.3" x14ac:dyDescent="0.3"/>
  <cols>
    <col min="1" max="1" width="17.15234375" style="102" bestFit="1" customWidth="1"/>
    <col min="2" max="2" width="14.84375" style="103" bestFit="1" customWidth="1"/>
    <col min="3" max="3" width="14" style="102" bestFit="1" customWidth="1"/>
    <col min="4" max="4" width="8.69140625" style="102" customWidth="1"/>
    <col min="5" max="5" width="7.84375" style="102" customWidth="1"/>
    <col min="6" max="6" width="11.23046875" style="102" bestFit="1" customWidth="1"/>
    <col min="7" max="7" width="15" style="102" customWidth="1"/>
    <col min="8" max="8" width="18.61328125" style="102" customWidth="1"/>
    <col min="9" max="9" width="18.69140625" style="102" bestFit="1" customWidth="1"/>
    <col min="10" max="16384" width="8.69140625" style="102"/>
  </cols>
  <sheetData>
    <row r="1" spans="1:9" ht="35.15" customHeight="1" x14ac:dyDescent="0.3">
      <c r="A1" s="104"/>
      <c r="B1" s="46" t="s">
        <v>127</v>
      </c>
      <c r="C1" s="46" t="s">
        <v>126</v>
      </c>
      <c r="D1" s="152" t="s">
        <v>124</v>
      </c>
      <c r="E1" s="153"/>
      <c r="F1" s="46" t="s">
        <v>125</v>
      </c>
      <c r="G1" s="119" t="s">
        <v>165</v>
      </c>
      <c r="H1" s="119" t="s">
        <v>202</v>
      </c>
      <c r="I1" s="21" t="s">
        <v>43</v>
      </c>
    </row>
    <row r="2" spans="1:9" x14ac:dyDescent="0.3">
      <c r="A2" s="110" t="s">
        <v>167</v>
      </c>
      <c r="B2" s="111">
        <v>360</v>
      </c>
      <c r="C2" s="111">
        <v>500</v>
      </c>
      <c r="D2" s="111">
        <v>50</v>
      </c>
      <c r="E2" s="111">
        <v>450</v>
      </c>
      <c r="F2" s="111">
        <v>1</v>
      </c>
      <c r="G2" s="111">
        <v>1</v>
      </c>
      <c r="H2" s="165">
        <v>1.5</v>
      </c>
      <c r="I2" s="112">
        <v>1.65</v>
      </c>
    </row>
    <row r="3" spans="1:9" x14ac:dyDescent="0.3">
      <c r="A3" s="110" t="s">
        <v>168</v>
      </c>
      <c r="B3" s="111">
        <v>360</v>
      </c>
      <c r="C3" s="111">
        <v>500</v>
      </c>
      <c r="D3" s="111">
        <v>50</v>
      </c>
      <c r="E3" s="111">
        <v>450</v>
      </c>
      <c r="F3" s="111">
        <v>1</v>
      </c>
      <c r="G3" s="111">
        <v>1</v>
      </c>
      <c r="H3" s="165">
        <v>2.5</v>
      </c>
      <c r="I3" s="112">
        <v>2.75</v>
      </c>
    </row>
    <row r="4" spans="1:9" x14ac:dyDescent="0.3">
      <c r="A4" s="110" t="s">
        <v>169</v>
      </c>
      <c r="B4" s="111">
        <v>360</v>
      </c>
      <c r="C4" s="111">
        <v>500</v>
      </c>
      <c r="D4" s="111">
        <v>50</v>
      </c>
      <c r="E4" s="111">
        <v>450</v>
      </c>
      <c r="F4" s="111">
        <v>1</v>
      </c>
      <c r="G4" s="111">
        <v>1</v>
      </c>
      <c r="H4" s="165">
        <v>3.3</v>
      </c>
      <c r="I4" s="112">
        <v>3.3</v>
      </c>
    </row>
    <row r="5" spans="1:9" x14ac:dyDescent="0.3">
      <c r="A5" s="157" t="s">
        <v>196</v>
      </c>
      <c r="B5" s="158">
        <v>360</v>
      </c>
      <c r="C5" s="158">
        <v>500</v>
      </c>
      <c r="D5" s="158">
        <v>110</v>
      </c>
      <c r="E5" s="158">
        <v>450</v>
      </c>
      <c r="F5" s="158">
        <v>1</v>
      </c>
      <c r="G5" s="158">
        <v>1</v>
      </c>
      <c r="H5" s="162">
        <v>1.5</v>
      </c>
      <c r="I5" s="159">
        <v>1.5</v>
      </c>
    </row>
    <row r="6" spans="1:9" x14ac:dyDescent="0.3">
      <c r="A6" s="157" t="s">
        <v>197</v>
      </c>
      <c r="B6" s="158">
        <v>360</v>
      </c>
      <c r="C6" s="158">
        <v>500</v>
      </c>
      <c r="D6" s="158">
        <v>180</v>
      </c>
      <c r="E6" s="158">
        <v>450</v>
      </c>
      <c r="F6" s="158">
        <v>1</v>
      </c>
      <c r="G6" s="158">
        <v>1</v>
      </c>
      <c r="H6" s="162">
        <v>2.5</v>
      </c>
      <c r="I6" s="159">
        <v>2.5</v>
      </c>
    </row>
    <row r="7" spans="1:9" x14ac:dyDescent="0.3">
      <c r="A7" s="157" t="s">
        <v>198</v>
      </c>
      <c r="B7" s="158">
        <v>360</v>
      </c>
      <c r="C7" s="158">
        <v>500</v>
      </c>
      <c r="D7" s="158">
        <v>230</v>
      </c>
      <c r="E7" s="158">
        <v>450</v>
      </c>
      <c r="F7" s="158">
        <v>1</v>
      </c>
      <c r="G7" s="158">
        <v>1</v>
      </c>
      <c r="H7" s="162">
        <v>3.3</v>
      </c>
      <c r="I7" s="159">
        <v>3.3</v>
      </c>
    </row>
    <row r="8" spans="1:9" x14ac:dyDescent="0.3">
      <c r="A8" s="113" t="s">
        <v>170</v>
      </c>
      <c r="B8" s="114">
        <v>360</v>
      </c>
      <c r="C8" s="114">
        <v>600</v>
      </c>
      <c r="D8" s="114">
        <v>50</v>
      </c>
      <c r="E8" s="114">
        <v>550</v>
      </c>
      <c r="F8" s="114">
        <v>2</v>
      </c>
      <c r="G8" s="114">
        <v>2</v>
      </c>
      <c r="H8" s="166">
        <v>3.6</v>
      </c>
      <c r="I8" s="115">
        <v>3.96</v>
      </c>
    </row>
    <row r="9" spans="1:9" x14ac:dyDescent="0.3">
      <c r="A9" s="113" t="s">
        <v>171</v>
      </c>
      <c r="B9" s="114">
        <v>360</v>
      </c>
      <c r="C9" s="114">
        <v>600</v>
      </c>
      <c r="D9" s="114">
        <v>50</v>
      </c>
      <c r="E9" s="114">
        <v>550</v>
      </c>
      <c r="F9" s="114">
        <v>2</v>
      </c>
      <c r="G9" s="114">
        <v>2</v>
      </c>
      <c r="H9" s="166">
        <v>4.2</v>
      </c>
      <c r="I9" s="115">
        <v>4.5999999999999996</v>
      </c>
    </row>
    <row r="10" spans="1:9" x14ac:dyDescent="0.3">
      <c r="A10" s="113" t="s">
        <v>172</v>
      </c>
      <c r="B10" s="114">
        <v>360</v>
      </c>
      <c r="C10" s="114">
        <v>600</v>
      </c>
      <c r="D10" s="114">
        <v>50</v>
      </c>
      <c r="E10" s="114">
        <v>550</v>
      </c>
      <c r="F10" s="114">
        <v>2</v>
      </c>
      <c r="G10" s="114">
        <v>2</v>
      </c>
      <c r="H10" s="166">
        <v>5</v>
      </c>
      <c r="I10" s="115">
        <v>5.5</v>
      </c>
    </row>
    <row r="11" spans="1:9" x14ac:dyDescent="0.3">
      <c r="A11" s="113" t="s">
        <v>173</v>
      </c>
      <c r="B11" s="114">
        <v>360</v>
      </c>
      <c r="C11" s="114">
        <v>600</v>
      </c>
      <c r="D11" s="114">
        <v>50</v>
      </c>
      <c r="E11" s="114">
        <v>550</v>
      </c>
      <c r="F11" s="114">
        <v>2</v>
      </c>
      <c r="G11" s="114">
        <v>2</v>
      </c>
      <c r="H11" s="166">
        <v>6</v>
      </c>
      <c r="I11" s="115">
        <v>6</v>
      </c>
    </row>
    <row r="12" spans="1:9" x14ac:dyDescent="0.3">
      <c r="A12" s="116" t="s">
        <v>174</v>
      </c>
      <c r="B12" s="117">
        <v>620</v>
      </c>
      <c r="C12" s="117">
        <v>1100</v>
      </c>
      <c r="D12" s="117">
        <v>160</v>
      </c>
      <c r="E12" s="117">
        <v>950</v>
      </c>
      <c r="F12" s="117">
        <v>2</v>
      </c>
      <c r="G12" s="117">
        <v>2</v>
      </c>
      <c r="H12" s="167">
        <v>5</v>
      </c>
      <c r="I12" s="118">
        <v>5</v>
      </c>
    </row>
    <row r="13" spans="1:9" x14ac:dyDescent="0.3">
      <c r="A13" s="116" t="s">
        <v>175</v>
      </c>
      <c r="B13" s="117">
        <v>620</v>
      </c>
      <c r="C13" s="117">
        <v>1100</v>
      </c>
      <c r="D13" s="117">
        <v>160</v>
      </c>
      <c r="E13" s="117">
        <v>950</v>
      </c>
      <c r="F13" s="117">
        <v>2</v>
      </c>
      <c r="G13" s="117">
        <v>2</v>
      </c>
      <c r="H13" s="167">
        <v>6</v>
      </c>
      <c r="I13" s="118">
        <v>6</v>
      </c>
    </row>
    <row r="14" spans="1:9" x14ac:dyDescent="0.3">
      <c r="A14" s="116" t="s">
        <v>176</v>
      </c>
      <c r="B14" s="117">
        <v>620</v>
      </c>
      <c r="C14" s="117">
        <v>1100</v>
      </c>
      <c r="D14" s="117">
        <v>160</v>
      </c>
      <c r="E14" s="117">
        <v>950</v>
      </c>
      <c r="F14" s="117">
        <v>2</v>
      </c>
      <c r="G14" s="117">
        <v>2</v>
      </c>
      <c r="H14" s="167">
        <v>8</v>
      </c>
      <c r="I14" s="118">
        <v>8</v>
      </c>
    </row>
    <row r="15" spans="1:9" x14ac:dyDescent="0.3">
      <c r="A15" s="116" t="s">
        <v>177</v>
      </c>
      <c r="B15" s="117">
        <v>620</v>
      </c>
      <c r="C15" s="117">
        <v>1100</v>
      </c>
      <c r="D15" s="117">
        <v>160</v>
      </c>
      <c r="E15" s="117">
        <v>950</v>
      </c>
      <c r="F15" s="117">
        <v>3</v>
      </c>
      <c r="G15" s="117">
        <v>3</v>
      </c>
      <c r="H15" s="167">
        <v>8</v>
      </c>
      <c r="I15" s="118">
        <v>8</v>
      </c>
    </row>
    <row r="16" spans="1:9" x14ac:dyDescent="0.3">
      <c r="A16" s="116" t="s">
        <v>178</v>
      </c>
      <c r="B16" s="117">
        <v>620</v>
      </c>
      <c r="C16" s="117">
        <v>1100</v>
      </c>
      <c r="D16" s="117">
        <v>160</v>
      </c>
      <c r="E16" s="117">
        <v>950</v>
      </c>
      <c r="F16" s="117">
        <v>2</v>
      </c>
      <c r="G16" s="117">
        <v>2</v>
      </c>
      <c r="H16" s="167">
        <v>10</v>
      </c>
      <c r="I16" s="118">
        <v>10</v>
      </c>
    </row>
    <row r="17" spans="1:9" x14ac:dyDescent="0.3">
      <c r="A17" s="116" t="s">
        <v>179</v>
      </c>
      <c r="B17" s="117">
        <v>620</v>
      </c>
      <c r="C17" s="117">
        <v>1100</v>
      </c>
      <c r="D17" s="117">
        <v>160</v>
      </c>
      <c r="E17" s="117">
        <v>950</v>
      </c>
      <c r="F17" s="117">
        <v>3</v>
      </c>
      <c r="G17" s="117">
        <v>3</v>
      </c>
      <c r="H17" s="167">
        <v>10</v>
      </c>
      <c r="I17" s="118">
        <v>10</v>
      </c>
    </row>
    <row r="18" spans="1:9" x14ac:dyDescent="0.3">
      <c r="A18" s="116" t="s">
        <v>180</v>
      </c>
      <c r="B18" s="117">
        <v>620</v>
      </c>
      <c r="C18" s="117">
        <v>1100</v>
      </c>
      <c r="D18" s="117">
        <v>160</v>
      </c>
      <c r="E18" s="117">
        <v>950</v>
      </c>
      <c r="F18" s="117">
        <v>3</v>
      </c>
      <c r="G18" s="117">
        <v>3</v>
      </c>
      <c r="H18" s="167">
        <v>12</v>
      </c>
      <c r="I18" s="118">
        <v>12</v>
      </c>
    </row>
    <row r="19" spans="1:9" x14ac:dyDescent="0.3">
      <c r="A19" s="116" t="s">
        <v>181</v>
      </c>
      <c r="B19" s="117">
        <v>620</v>
      </c>
      <c r="C19" s="117">
        <v>1100</v>
      </c>
      <c r="D19" s="117">
        <v>160</v>
      </c>
      <c r="E19" s="117">
        <v>950</v>
      </c>
      <c r="F19" s="117">
        <v>3</v>
      </c>
      <c r="G19" s="117">
        <v>4</v>
      </c>
      <c r="H19" s="167">
        <v>12</v>
      </c>
      <c r="I19" s="118">
        <v>12</v>
      </c>
    </row>
    <row r="20" spans="1:9" x14ac:dyDescent="0.3">
      <c r="A20" s="116" t="s">
        <v>184</v>
      </c>
      <c r="B20" s="117">
        <v>620</v>
      </c>
      <c r="C20" s="117">
        <v>1100</v>
      </c>
      <c r="D20" s="117">
        <v>160</v>
      </c>
      <c r="E20" s="117">
        <v>950</v>
      </c>
      <c r="F20" s="117">
        <v>3</v>
      </c>
      <c r="G20" s="117">
        <v>4</v>
      </c>
      <c r="H20" s="167">
        <v>15</v>
      </c>
      <c r="I20" s="118">
        <v>15</v>
      </c>
    </row>
    <row r="21" spans="1:9" x14ac:dyDescent="0.3">
      <c r="A21" s="116" t="s">
        <v>182</v>
      </c>
      <c r="B21" s="117">
        <v>620</v>
      </c>
      <c r="C21" s="117">
        <v>1100</v>
      </c>
      <c r="D21" s="117">
        <v>160</v>
      </c>
      <c r="E21" s="117">
        <v>950</v>
      </c>
      <c r="F21" s="117">
        <v>3</v>
      </c>
      <c r="G21" s="117">
        <v>4</v>
      </c>
      <c r="H21" s="167">
        <v>20</v>
      </c>
      <c r="I21" s="118">
        <v>20</v>
      </c>
    </row>
    <row r="22" spans="1:9" x14ac:dyDescent="0.3">
      <c r="A22" s="116" t="s">
        <v>183</v>
      </c>
      <c r="B22" s="117">
        <v>620</v>
      </c>
      <c r="C22" s="117">
        <v>1100</v>
      </c>
      <c r="D22" s="117">
        <v>160</v>
      </c>
      <c r="E22" s="117">
        <v>950</v>
      </c>
      <c r="F22" s="117">
        <v>3</v>
      </c>
      <c r="G22" s="117">
        <v>4</v>
      </c>
      <c r="H22" s="167">
        <v>25</v>
      </c>
      <c r="I22" s="118">
        <v>25</v>
      </c>
    </row>
    <row r="23" spans="1:9" x14ac:dyDescent="0.3">
      <c r="A23" s="107" t="s">
        <v>144</v>
      </c>
      <c r="B23" s="108">
        <v>360</v>
      </c>
      <c r="C23" s="108">
        <v>600</v>
      </c>
      <c r="D23" s="108">
        <v>100</v>
      </c>
      <c r="E23" s="108">
        <v>500</v>
      </c>
      <c r="F23" s="108">
        <v>1</v>
      </c>
      <c r="G23" s="108">
        <v>1</v>
      </c>
      <c r="H23" s="168">
        <v>3</v>
      </c>
      <c r="I23" s="109">
        <v>3.3</v>
      </c>
    </row>
    <row r="24" spans="1:9" x14ac:dyDescent="0.3">
      <c r="A24" s="107" t="s">
        <v>145</v>
      </c>
      <c r="B24" s="108">
        <v>360</v>
      </c>
      <c r="C24" s="108">
        <v>600</v>
      </c>
      <c r="D24" s="108">
        <v>100</v>
      </c>
      <c r="E24" s="108">
        <v>500</v>
      </c>
      <c r="F24" s="108">
        <v>1</v>
      </c>
      <c r="G24" s="108">
        <v>1</v>
      </c>
      <c r="H24" s="168">
        <v>3.6</v>
      </c>
      <c r="I24" s="109">
        <v>3.96</v>
      </c>
    </row>
    <row r="25" spans="1:9" x14ac:dyDescent="0.3">
      <c r="A25" s="107" t="s">
        <v>146</v>
      </c>
      <c r="B25" s="108">
        <v>360</v>
      </c>
      <c r="C25" s="108">
        <v>600</v>
      </c>
      <c r="D25" s="108">
        <v>100</v>
      </c>
      <c r="E25" s="108">
        <v>500</v>
      </c>
      <c r="F25" s="108">
        <v>2</v>
      </c>
      <c r="G25" s="108">
        <v>2</v>
      </c>
      <c r="H25" s="168">
        <v>4.2</v>
      </c>
      <c r="I25" s="109">
        <v>4.5999999999999996</v>
      </c>
    </row>
    <row r="26" spans="1:9" x14ac:dyDescent="0.3">
      <c r="A26" s="107" t="s">
        <v>147</v>
      </c>
      <c r="B26" s="108">
        <v>360</v>
      </c>
      <c r="C26" s="108">
        <v>600</v>
      </c>
      <c r="D26" s="108">
        <v>100</v>
      </c>
      <c r="E26" s="108">
        <v>500</v>
      </c>
      <c r="F26" s="108">
        <v>2</v>
      </c>
      <c r="G26" s="108">
        <v>2</v>
      </c>
      <c r="H26" s="168">
        <v>5</v>
      </c>
      <c r="I26" s="109">
        <v>5.5</v>
      </c>
    </row>
    <row r="27" spans="1:9" x14ac:dyDescent="0.3">
      <c r="A27" s="107" t="s">
        <v>148</v>
      </c>
      <c r="B27" s="108">
        <v>360</v>
      </c>
      <c r="C27" s="108">
        <v>600</v>
      </c>
      <c r="D27" s="108">
        <v>100</v>
      </c>
      <c r="E27" s="108">
        <v>500</v>
      </c>
      <c r="F27" s="108">
        <v>2</v>
      </c>
      <c r="G27" s="108">
        <v>2</v>
      </c>
      <c r="H27" s="168">
        <v>6</v>
      </c>
      <c r="I27" s="109">
        <v>6.6</v>
      </c>
    </row>
    <row r="28" spans="1:9" x14ac:dyDescent="0.3">
      <c r="A28" s="107" t="s">
        <v>149</v>
      </c>
      <c r="B28" s="108">
        <v>360</v>
      </c>
      <c r="C28" s="108">
        <v>600</v>
      </c>
      <c r="D28" s="108">
        <v>100</v>
      </c>
      <c r="E28" s="108">
        <v>500</v>
      </c>
      <c r="F28" s="108">
        <v>2</v>
      </c>
      <c r="G28" s="108">
        <v>2</v>
      </c>
      <c r="H28" s="168">
        <v>8</v>
      </c>
      <c r="I28" s="109">
        <v>8</v>
      </c>
    </row>
    <row r="29" spans="1:9" x14ac:dyDescent="0.3">
      <c r="A29" s="160" t="s">
        <v>185</v>
      </c>
      <c r="B29" s="158">
        <v>360</v>
      </c>
      <c r="C29" s="158">
        <v>580</v>
      </c>
      <c r="D29" s="158">
        <v>160</v>
      </c>
      <c r="E29" s="158">
        <v>500</v>
      </c>
      <c r="F29" s="158">
        <v>1</v>
      </c>
      <c r="G29" s="158">
        <v>1</v>
      </c>
      <c r="H29" s="162">
        <v>3</v>
      </c>
      <c r="I29" s="159">
        <v>3</v>
      </c>
    </row>
    <row r="30" spans="1:9" x14ac:dyDescent="0.3">
      <c r="A30" s="160" t="s">
        <v>186</v>
      </c>
      <c r="B30" s="158">
        <v>360</v>
      </c>
      <c r="C30" s="158">
        <v>580</v>
      </c>
      <c r="D30" s="158">
        <v>95</v>
      </c>
      <c r="E30" s="158">
        <v>500</v>
      </c>
      <c r="F30" s="158">
        <v>2</v>
      </c>
      <c r="G30" s="158">
        <v>2</v>
      </c>
      <c r="H30" s="162">
        <v>3.6</v>
      </c>
      <c r="I30" s="159">
        <v>3.6</v>
      </c>
    </row>
    <row r="31" spans="1:9" x14ac:dyDescent="0.3">
      <c r="A31" s="160" t="s">
        <v>187</v>
      </c>
      <c r="B31" s="158">
        <v>360</v>
      </c>
      <c r="C31" s="158">
        <v>580</v>
      </c>
      <c r="D31" s="158">
        <v>110</v>
      </c>
      <c r="E31" s="158">
        <v>500</v>
      </c>
      <c r="F31" s="158">
        <v>2</v>
      </c>
      <c r="G31" s="158">
        <v>2</v>
      </c>
      <c r="H31" s="162">
        <v>4.2</v>
      </c>
      <c r="I31" s="159">
        <v>4.2</v>
      </c>
    </row>
    <row r="32" spans="1:9" x14ac:dyDescent="0.3">
      <c r="A32" s="160" t="s">
        <v>188</v>
      </c>
      <c r="B32" s="158">
        <v>360</v>
      </c>
      <c r="C32" s="158">
        <v>580</v>
      </c>
      <c r="D32" s="158">
        <v>120</v>
      </c>
      <c r="E32" s="158">
        <v>500</v>
      </c>
      <c r="F32" s="158">
        <v>2</v>
      </c>
      <c r="G32" s="158">
        <v>2</v>
      </c>
      <c r="H32" s="162">
        <v>4.5999999999999996</v>
      </c>
      <c r="I32" s="159">
        <v>4.5999999999999996</v>
      </c>
    </row>
    <row r="33" spans="1:9" x14ac:dyDescent="0.3">
      <c r="A33" s="160" t="s">
        <v>189</v>
      </c>
      <c r="B33" s="158">
        <v>360</v>
      </c>
      <c r="C33" s="158">
        <v>580</v>
      </c>
      <c r="D33" s="158">
        <v>130</v>
      </c>
      <c r="E33" s="158">
        <v>500</v>
      </c>
      <c r="F33" s="158">
        <v>2</v>
      </c>
      <c r="G33" s="158">
        <v>2</v>
      </c>
      <c r="H33" s="162">
        <v>5</v>
      </c>
      <c r="I33" s="159">
        <v>5</v>
      </c>
    </row>
    <row r="34" spans="1:9" x14ac:dyDescent="0.3">
      <c r="A34" s="160" t="s">
        <v>190</v>
      </c>
      <c r="B34" s="158">
        <v>360</v>
      </c>
      <c r="C34" s="158">
        <v>580</v>
      </c>
      <c r="D34" s="158">
        <v>160</v>
      </c>
      <c r="E34" s="158">
        <v>500</v>
      </c>
      <c r="F34" s="158">
        <v>2</v>
      </c>
      <c r="G34" s="158">
        <v>2</v>
      </c>
      <c r="H34" s="162">
        <v>6</v>
      </c>
      <c r="I34" s="159">
        <v>6</v>
      </c>
    </row>
    <row r="35" spans="1:9" x14ac:dyDescent="0.3">
      <c r="A35" s="110" t="s">
        <v>150</v>
      </c>
      <c r="B35" s="111">
        <v>620</v>
      </c>
      <c r="C35" s="111">
        <v>1000</v>
      </c>
      <c r="D35" s="111">
        <v>120</v>
      </c>
      <c r="E35" s="111">
        <v>950</v>
      </c>
      <c r="F35" s="111">
        <v>2</v>
      </c>
      <c r="G35" s="111">
        <v>2</v>
      </c>
      <c r="H35" s="165">
        <v>4</v>
      </c>
      <c r="I35" s="112">
        <v>4.4000000000000004</v>
      </c>
    </row>
    <row r="36" spans="1:9" x14ac:dyDescent="0.3">
      <c r="A36" s="110" t="s">
        <v>151</v>
      </c>
      <c r="B36" s="111">
        <v>620</v>
      </c>
      <c r="C36" s="111">
        <v>1000</v>
      </c>
      <c r="D36" s="111">
        <v>120</v>
      </c>
      <c r="E36" s="111">
        <v>950</v>
      </c>
      <c r="F36" s="111">
        <v>2</v>
      </c>
      <c r="G36" s="111">
        <v>2</v>
      </c>
      <c r="H36" s="165">
        <v>5</v>
      </c>
      <c r="I36" s="112">
        <v>5.5</v>
      </c>
    </row>
    <row r="37" spans="1:9" x14ac:dyDescent="0.3">
      <c r="A37" s="110" t="s">
        <v>152</v>
      </c>
      <c r="B37" s="111">
        <v>620</v>
      </c>
      <c r="C37" s="111">
        <v>1000</v>
      </c>
      <c r="D37" s="111">
        <v>120</v>
      </c>
      <c r="E37" s="111">
        <v>950</v>
      </c>
      <c r="F37" s="111">
        <v>2</v>
      </c>
      <c r="G37" s="111">
        <v>2</v>
      </c>
      <c r="H37" s="165">
        <v>6</v>
      </c>
      <c r="I37" s="112">
        <v>6.6</v>
      </c>
    </row>
    <row r="38" spans="1:9" x14ac:dyDescent="0.3">
      <c r="A38" s="110" t="s">
        <v>153</v>
      </c>
      <c r="B38" s="111">
        <v>620</v>
      </c>
      <c r="C38" s="111">
        <v>1000</v>
      </c>
      <c r="D38" s="111">
        <v>200</v>
      </c>
      <c r="E38" s="111">
        <v>950</v>
      </c>
      <c r="F38" s="111">
        <v>2</v>
      </c>
      <c r="G38" s="111">
        <v>2</v>
      </c>
      <c r="H38" s="165">
        <v>8</v>
      </c>
      <c r="I38" s="112">
        <v>8.8000000000000007</v>
      </c>
    </row>
    <row r="39" spans="1:9" x14ac:dyDescent="0.3">
      <c r="A39" s="110" t="s">
        <v>154</v>
      </c>
      <c r="B39" s="111">
        <v>620</v>
      </c>
      <c r="C39" s="111">
        <v>1000</v>
      </c>
      <c r="D39" s="111">
        <v>200</v>
      </c>
      <c r="E39" s="111">
        <v>950</v>
      </c>
      <c r="F39" s="111">
        <v>2</v>
      </c>
      <c r="G39" s="111">
        <v>2</v>
      </c>
      <c r="H39" s="165">
        <v>10</v>
      </c>
      <c r="I39" s="112">
        <v>11</v>
      </c>
    </row>
    <row r="40" spans="1:9" x14ac:dyDescent="0.3">
      <c r="A40" s="110" t="s">
        <v>155</v>
      </c>
      <c r="B40" s="111">
        <v>620</v>
      </c>
      <c r="C40" s="111">
        <v>1000</v>
      </c>
      <c r="D40" s="111">
        <v>200</v>
      </c>
      <c r="E40" s="111">
        <v>950</v>
      </c>
      <c r="F40" s="111">
        <v>2</v>
      </c>
      <c r="G40" s="111">
        <v>2</v>
      </c>
      <c r="H40" s="165">
        <v>12</v>
      </c>
      <c r="I40" s="112">
        <v>13.2</v>
      </c>
    </row>
    <row r="41" spans="1:9" x14ac:dyDescent="0.3">
      <c r="A41" s="113" t="s">
        <v>156</v>
      </c>
      <c r="B41" s="114">
        <v>620</v>
      </c>
      <c r="C41" s="114">
        <v>1000</v>
      </c>
      <c r="D41" s="114">
        <v>200</v>
      </c>
      <c r="E41" s="114">
        <v>950</v>
      </c>
      <c r="F41" s="114">
        <v>2</v>
      </c>
      <c r="G41" s="114">
        <v>4</v>
      </c>
      <c r="H41" s="166">
        <v>10</v>
      </c>
      <c r="I41" s="115">
        <v>11</v>
      </c>
    </row>
    <row r="42" spans="1:9" x14ac:dyDescent="0.3">
      <c r="A42" s="113" t="s">
        <v>157</v>
      </c>
      <c r="B42" s="114">
        <v>620</v>
      </c>
      <c r="C42" s="114">
        <v>1000</v>
      </c>
      <c r="D42" s="114">
        <v>200</v>
      </c>
      <c r="E42" s="114">
        <v>950</v>
      </c>
      <c r="F42" s="114">
        <v>2</v>
      </c>
      <c r="G42" s="114">
        <v>4</v>
      </c>
      <c r="H42" s="166">
        <v>12</v>
      </c>
      <c r="I42" s="115">
        <v>13.2</v>
      </c>
    </row>
    <row r="43" spans="1:9" x14ac:dyDescent="0.3">
      <c r="A43" s="113" t="s">
        <v>158</v>
      </c>
      <c r="B43" s="114">
        <v>620</v>
      </c>
      <c r="C43" s="114">
        <v>1000</v>
      </c>
      <c r="D43" s="114">
        <v>200</v>
      </c>
      <c r="E43" s="114">
        <v>950</v>
      </c>
      <c r="F43" s="114">
        <v>2</v>
      </c>
      <c r="G43" s="114">
        <v>4</v>
      </c>
      <c r="H43" s="166">
        <v>15</v>
      </c>
      <c r="I43" s="115">
        <v>16.5</v>
      </c>
    </row>
    <row r="44" spans="1:9" x14ac:dyDescent="0.3">
      <c r="A44" s="113" t="s">
        <v>159</v>
      </c>
      <c r="B44" s="114">
        <v>620</v>
      </c>
      <c r="C44" s="114">
        <v>1000</v>
      </c>
      <c r="D44" s="114">
        <v>200</v>
      </c>
      <c r="E44" s="114">
        <v>950</v>
      </c>
      <c r="F44" s="114">
        <v>2</v>
      </c>
      <c r="G44" s="114">
        <v>4</v>
      </c>
      <c r="H44" s="166">
        <v>20</v>
      </c>
      <c r="I44" s="115">
        <v>22</v>
      </c>
    </row>
    <row r="45" spans="1:9" x14ac:dyDescent="0.3">
      <c r="A45" s="116" t="s">
        <v>160</v>
      </c>
      <c r="B45" s="117">
        <v>620</v>
      </c>
      <c r="C45" s="117">
        <v>1000</v>
      </c>
      <c r="D45" s="117">
        <v>200</v>
      </c>
      <c r="E45" s="117">
        <v>850</v>
      </c>
      <c r="F45" s="117">
        <v>4</v>
      </c>
      <c r="G45" s="117">
        <v>8</v>
      </c>
      <c r="H45" s="167">
        <v>25</v>
      </c>
      <c r="I45" s="118">
        <v>27.5</v>
      </c>
    </row>
    <row r="46" spans="1:9" x14ac:dyDescent="0.3">
      <c r="A46" s="116" t="s">
        <v>161</v>
      </c>
      <c r="B46" s="117">
        <v>620</v>
      </c>
      <c r="C46" s="117">
        <v>1000</v>
      </c>
      <c r="D46" s="117">
        <v>200</v>
      </c>
      <c r="E46" s="117">
        <v>850</v>
      </c>
      <c r="F46" s="117">
        <v>4</v>
      </c>
      <c r="G46" s="117">
        <v>8</v>
      </c>
      <c r="H46" s="167">
        <v>30</v>
      </c>
      <c r="I46" s="118">
        <v>33</v>
      </c>
    </row>
    <row r="47" spans="1:9" x14ac:dyDescent="0.3">
      <c r="A47" s="116" t="s">
        <v>162</v>
      </c>
      <c r="B47" s="117">
        <v>620</v>
      </c>
      <c r="C47" s="117">
        <v>1000</v>
      </c>
      <c r="D47" s="117">
        <v>200</v>
      </c>
      <c r="E47" s="117">
        <v>850</v>
      </c>
      <c r="F47" s="117">
        <v>4</v>
      </c>
      <c r="G47" s="117">
        <v>8</v>
      </c>
      <c r="H47" s="167">
        <v>36</v>
      </c>
      <c r="I47" s="118">
        <v>39.6</v>
      </c>
    </row>
    <row r="48" spans="1:9" x14ac:dyDescent="0.3">
      <c r="A48" s="116" t="s">
        <v>163</v>
      </c>
      <c r="B48" s="117">
        <v>620</v>
      </c>
      <c r="C48" s="117">
        <v>1000</v>
      </c>
      <c r="D48" s="117">
        <v>200</v>
      </c>
      <c r="E48" s="117">
        <v>850</v>
      </c>
      <c r="F48" s="117">
        <v>4</v>
      </c>
      <c r="G48" s="117">
        <v>8</v>
      </c>
      <c r="H48" s="167">
        <v>40</v>
      </c>
      <c r="I48" s="118">
        <v>44</v>
      </c>
    </row>
    <row r="49" spans="1:9" x14ac:dyDescent="0.3">
      <c r="A49" s="116" t="s">
        <v>164</v>
      </c>
      <c r="B49" s="117">
        <v>620</v>
      </c>
      <c r="C49" s="117">
        <v>1000</v>
      </c>
      <c r="D49" s="117">
        <v>200</v>
      </c>
      <c r="E49" s="117">
        <v>850</v>
      </c>
      <c r="F49" s="117">
        <v>4</v>
      </c>
      <c r="G49" s="117">
        <v>8</v>
      </c>
      <c r="H49" s="167">
        <v>50</v>
      </c>
      <c r="I49" s="118">
        <v>55</v>
      </c>
    </row>
    <row r="50" spans="1:9" x14ac:dyDescent="0.3">
      <c r="A50" s="161" t="s">
        <v>191</v>
      </c>
      <c r="B50" s="158">
        <v>620</v>
      </c>
      <c r="C50" s="158">
        <v>1000</v>
      </c>
      <c r="D50" s="158">
        <v>200</v>
      </c>
      <c r="E50" s="158">
        <v>850</v>
      </c>
      <c r="F50" s="158">
        <v>4</v>
      </c>
      <c r="G50" s="158">
        <v>8</v>
      </c>
      <c r="H50" s="162">
        <v>25</v>
      </c>
      <c r="I50" s="159">
        <v>25</v>
      </c>
    </row>
    <row r="51" spans="1:9" x14ac:dyDescent="0.3">
      <c r="A51" s="161" t="s">
        <v>192</v>
      </c>
      <c r="B51" s="158">
        <v>620</v>
      </c>
      <c r="C51" s="158">
        <v>1000</v>
      </c>
      <c r="D51" s="158">
        <v>200</v>
      </c>
      <c r="E51" s="158">
        <v>850</v>
      </c>
      <c r="F51" s="158">
        <v>4</v>
      </c>
      <c r="G51" s="158">
        <v>8</v>
      </c>
      <c r="H51" s="162">
        <v>29.9</v>
      </c>
      <c r="I51" s="159">
        <v>29.9</v>
      </c>
    </row>
    <row r="52" spans="1:9" x14ac:dyDescent="0.3">
      <c r="A52" s="161" t="s">
        <v>193</v>
      </c>
      <c r="B52" s="158">
        <v>620</v>
      </c>
      <c r="C52" s="158">
        <v>1000</v>
      </c>
      <c r="D52" s="158">
        <v>200</v>
      </c>
      <c r="E52" s="158">
        <v>850</v>
      </c>
      <c r="F52" s="158">
        <v>4</v>
      </c>
      <c r="G52" s="158">
        <v>8</v>
      </c>
      <c r="H52" s="162">
        <v>30</v>
      </c>
      <c r="I52" s="159">
        <v>30</v>
      </c>
    </row>
    <row r="53" spans="1:9" x14ac:dyDescent="0.3">
      <c r="A53" s="161" t="s">
        <v>194</v>
      </c>
      <c r="B53" s="158">
        <v>620</v>
      </c>
      <c r="C53" s="158">
        <v>1000</v>
      </c>
      <c r="D53" s="158">
        <v>265</v>
      </c>
      <c r="E53" s="158">
        <v>850</v>
      </c>
      <c r="F53" s="158">
        <v>4</v>
      </c>
      <c r="G53" s="158">
        <v>8</v>
      </c>
      <c r="H53" s="162">
        <v>40</v>
      </c>
      <c r="I53" s="159">
        <v>40</v>
      </c>
    </row>
    <row r="54" spans="1:9" x14ac:dyDescent="0.3">
      <c r="A54" s="161" t="s">
        <v>195</v>
      </c>
      <c r="B54" s="158">
        <v>620</v>
      </c>
      <c r="C54" s="158">
        <v>1000</v>
      </c>
      <c r="D54" s="158">
        <v>330</v>
      </c>
      <c r="E54" s="158">
        <v>850</v>
      </c>
      <c r="F54" s="158">
        <v>4</v>
      </c>
      <c r="G54" s="158">
        <v>8</v>
      </c>
      <c r="H54" s="162">
        <v>50</v>
      </c>
      <c r="I54" s="159">
        <v>50</v>
      </c>
    </row>
  </sheetData>
  <protectedRanges>
    <protectedRange sqref="D23:I24 F25:I25 D25:E34 B23:B34 F26:H34" name="区域2"/>
  </protectedRanges>
  <mergeCells count="1">
    <mergeCell ref="D1:E1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K27"/>
  <sheetViews>
    <sheetView workbookViewId="0">
      <selection activeCell="C29" sqref="C29"/>
    </sheetView>
  </sheetViews>
  <sheetFormatPr defaultColWidth="9" defaultRowHeight="16.3" x14ac:dyDescent="0.5"/>
  <cols>
    <col min="1" max="1" width="5.69140625" style="1" bestFit="1" customWidth="1"/>
    <col min="2" max="2" width="13" style="1" bestFit="1" customWidth="1"/>
    <col min="3" max="3" width="11.23046875" style="1" bestFit="1" customWidth="1"/>
    <col min="4" max="4" width="6.23046875" style="1" bestFit="1" customWidth="1"/>
    <col min="5" max="5" width="13" style="1" bestFit="1" customWidth="1"/>
    <col min="6" max="6" width="11.23046875" style="1" bestFit="1" customWidth="1"/>
    <col min="7" max="7" width="7.3828125" style="1" bestFit="1" customWidth="1"/>
    <col min="8" max="8" width="13" style="1" bestFit="1" customWidth="1"/>
    <col min="9" max="9" width="11.23046875" style="1" bestFit="1" customWidth="1"/>
    <col min="10" max="10" width="13" style="1" bestFit="1" customWidth="1"/>
    <col min="11" max="11" width="11.23046875" style="1" bestFit="1" customWidth="1"/>
    <col min="12" max="16384" width="9" style="1"/>
  </cols>
  <sheetData>
    <row r="1" spans="1:11" ht="23.15" x14ac:dyDescent="0.5">
      <c r="A1" s="154" t="s">
        <v>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x14ac:dyDescent="0.5">
      <c r="A2" s="155" t="s">
        <v>5</v>
      </c>
      <c r="B2" s="156" t="s">
        <v>9</v>
      </c>
      <c r="C2" s="156"/>
      <c r="D2" s="156"/>
      <c r="E2" s="156" t="s">
        <v>10</v>
      </c>
      <c r="F2" s="156"/>
      <c r="G2" s="156"/>
      <c r="H2" s="156" t="s">
        <v>11</v>
      </c>
      <c r="I2" s="156"/>
      <c r="J2" s="156" t="s">
        <v>11</v>
      </c>
      <c r="K2" s="156"/>
    </row>
    <row r="3" spans="1:11" x14ac:dyDescent="0.5">
      <c r="A3" s="155"/>
      <c r="B3" s="2" t="s">
        <v>12</v>
      </c>
      <c r="C3" s="2" t="s">
        <v>13</v>
      </c>
      <c r="D3" s="3" t="s">
        <v>14</v>
      </c>
      <c r="E3" s="2" t="s">
        <v>12</v>
      </c>
      <c r="F3" s="2" t="s">
        <v>13</v>
      </c>
      <c r="G3" s="3" t="s">
        <v>14</v>
      </c>
      <c r="H3" s="3" t="s">
        <v>12</v>
      </c>
      <c r="I3" s="3" t="s">
        <v>13</v>
      </c>
      <c r="J3" s="3" t="s">
        <v>12</v>
      </c>
      <c r="K3" s="3" t="s">
        <v>13</v>
      </c>
    </row>
    <row r="4" spans="1:11" x14ac:dyDescent="0.5">
      <c r="A4" s="4">
        <v>0.5</v>
      </c>
      <c r="B4" s="5">
        <v>36</v>
      </c>
      <c r="C4" s="5">
        <v>36.700000000000003</v>
      </c>
      <c r="D4" s="6" t="s">
        <v>15</v>
      </c>
      <c r="E4" s="5">
        <v>36</v>
      </c>
      <c r="F4" s="5">
        <v>36.700000000000003</v>
      </c>
      <c r="G4" s="7" t="s">
        <v>15</v>
      </c>
      <c r="H4" s="5">
        <v>39</v>
      </c>
      <c r="I4" s="5">
        <v>40.1</v>
      </c>
      <c r="J4" s="5">
        <v>39</v>
      </c>
      <c r="K4" s="5">
        <v>40.1</v>
      </c>
    </row>
    <row r="5" spans="1:11" x14ac:dyDescent="0.5">
      <c r="A5" s="4">
        <v>0.75</v>
      </c>
      <c r="B5" s="5">
        <v>24.5</v>
      </c>
      <c r="C5" s="5">
        <v>24.8</v>
      </c>
      <c r="D5" s="6" t="s">
        <v>15</v>
      </c>
      <c r="E5" s="5">
        <v>24.5</v>
      </c>
      <c r="F5" s="5">
        <v>24.8</v>
      </c>
      <c r="G5" s="7" t="s">
        <v>15</v>
      </c>
      <c r="H5" s="5">
        <v>26</v>
      </c>
      <c r="I5" s="5">
        <v>26.7</v>
      </c>
      <c r="J5" s="5">
        <v>26</v>
      </c>
      <c r="K5" s="5">
        <v>26.7</v>
      </c>
    </row>
    <row r="6" spans="1:11" x14ac:dyDescent="0.5">
      <c r="A6" s="4">
        <v>1</v>
      </c>
      <c r="B6" s="5">
        <v>18.100000000000001</v>
      </c>
      <c r="C6" s="5">
        <v>18.2</v>
      </c>
      <c r="D6" s="6" t="s">
        <v>15</v>
      </c>
      <c r="E6" s="5">
        <v>18.100000000000001</v>
      </c>
      <c r="F6" s="5">
        <v>18.2</v>
      </c>
      <c r="G6" s="7" t="s">
        <v>15</v>
      </c>
      <c r="H6" s="5">
        <v>19.5</v>
      </c>
      <c r="I6" s="5">
        <v>20</v>
      </c>
      <c r="J6" s="5">
        <v>19.5</v>
      </c>
      <c r="K6" s="5">
        <v>20</v>
      </c>
    </row>
    <row r="7" spans="1:11" x14ac:dyDescent="0.5">
      <c r="A7" s="4">
        <v>1.5</v>
      </c>
      <c r="B7" s="5">
        <v>12.1</v>
      </c>
      <c r="C7" s="5">
        <v>12.2</v>
      </c>
      <c r="D7" s="6">
        <v>18.100000000000001</v>
      </c>
      <c r="E7" s="5">
        <v>12.1</v>
      </c>
      <c r="F7" s="5">
        <v>12.2</v>
      </c>
      <c r="G7" s="7" t="s">
        <v>15</v>
      </c>
      <c r="H7" s="5">
        <v>13.3</v>
      </c>
      <c r="I7" s="5">
        <v>13.7</v>
      </c>
      <c r="J7" s="5">
        <v>13.3</v>
      </c>
      <c r="K7" s="5">
        <v>13.7</v>
      </c>
    </row>
    <row r="8" spans="1:11" x14ac:dyDescent="0.5">
      <c r="A8" s="4">
        <v>2.5</v>
      </c>
      <c r="B8" s="6">
        <v>7.41</v>
      </c>
      <c r="C8" s="6">
        <v>7.56</v>
      </c>
      <c r="D8" s="6">
        <v>12.1</v>
      </c>
      <c r="E8" s="6">
        <v>7.41</v>
      </c>
      <c r="F8" s="6">
        <v>7.56</v>
      </c>
      <c r="G8" s="7" t="s">
        <v>15</v>
      </c>
      <c r="H8" s="6">
        <v>7.98</v>
      </c>
      <c r="I8" s="8">
        <v>8.2100000000000009</v>
      </c>
      <c r="J8" s="6">
        <v>7.98</v>
      </c>
      <c r="K8" s="8">
        <v>8.2100000000000009</v>
      </c>
    </row>
    <row r="9" spans="1:11" x14ac:dyDescent="0.5">
      <c r="A9" s="4">
        <v>4</v>
      </c>
      <c r="B9" s="6">
        <v>4.6100000000000003</v>
      </c>
      <c r="C9" s="6">
        <v>4.7</v>
      </c>
      <c r="D9" s="6">
        <v>7.41</v>
      </c>
      <c r="E9" s="6">
        <v>4.6100000000000003</v>
      </c>
      <c r="F9" s="6">
        <v>4.7</v>
      </c>
      <c r="G9" s="6">
        <v>7.41</v>
      </c>
      <c r="H9" s="6">
        <v>4.95</v>
      </c>
      <c r="I9" s="8">
        <v>5.09</v>
      </c>
      <c r="J9" s="6">
        <v>4.95</v>
      </c>
      <c r="K9" s="8">
        <v>5.09</v>
      </c>
    </row>
    <row r="10" spans="1:11" x14ac:dyDescent="0.5">
      <c r="A10" s="4">
        <v>6</v>
      </c>
      <c r="B10" s="6">
        <v>3.08</v>
      </c>
      <c r="C10" s="6">
        <v>3.11</v>
      </c>
      <c r="D10" s="6">
        <v>4.6100000000000003</v>
      </c>
      <c r="E10" s="6">
        <v>3.08</v>
      </c>
      <c r="F10" s="6">
        <v>3.11</v>
      </c>
      <c r="G10" s="6">
        <v>4.6100000000000003</v>
      </c>
      <c r="H10" s="6">
        <v>3.3</v>
      </c>
      <c r="I10" s="8">
        <v>3.39</v>
      </c>
      <c r="J10" s="6">
        <v>3.3</v>
      </c>
      <c r="K10" s="8">
        <v>3.39</v>
      </c>
    </row>
    <row r="11" spans="1:11" x14ac:dyDescent="0.5">
      <c r="A11" s="4">
        <v>10</v>
      </c>
      <c r="B11" s="6">
        <v>1.83</v>
      </c>
      <c r="C11" s="6">
        <v>1.84</v>
      </c>
      <c r="D11" s="6">
        <v>3.08</v>
      </c>
      <c r="E11" s="6">
        <v>1.83</v>
      </c>
      <c r="F11" s="6">
        <v>1.84</v>
      </c>
      <c r="G11" s="6">
        <v>3.08</v>
      </c>
      <c r="H11" s="6">
        <v>1.91</v>
      </c>
      <c r="I11" s="8">
        <v>1.95</v>
      </c>
      <c r="J11" s="6">
        <v>1.91</v>
      </c>
      <c r="K11" s="8">
        <v>1.95</v>
      </c>
    </row>
    <row r="12" spans="1:11" x14ac:dyDescent="0.5">
      <c r="A12" s="4">
        <v>16</v>
      </c>
      <c r="B12" s="6">
        <v>1.1499999999999999</v>
      </c>
      <c r="C12" s="6">
        <v>1.1599999999999999</v>
      </c>
      <c r="D12" s="6">
        <v>1.91</v>
      </c>
      <c r="E12" s="6">
        <v>1.1499999999999999</v>
      </c>
      <c r="F12" s="6">
        <v>1.1599999999999999</v>
      </c>
      <c r="G12" s="6">
        <v>1.91</v>
      </c>
      <c r="H12" s="6">
        <v>1.21</v>
      </c>
      <c r="I12" s="8">
        <v>1.24</v>
      </c>
      <c r="J12" s="6">
        <v>1.21</v>
      </c>
      <c r="K12" s="8">
        <v>1.24</v>
      </c>
    </row>
    <row r="13" spans="1:11" x14ac:dyDescent="0.5">
      <c r="A13" s="4">
        <v>25</v>
      </c>
      <c r="B13" s="9">
        <v>0.72699999999999998</v>
      </c>
      <c r="C13" s="9">
        <v>0.73399999999999999</v>
      </c>
      <c r="D13" s="6">
        <v>1.2</v>
      </c>
      <c r="E13" s="9">
        <v>0.72699999999999998</v>
      </c>
      <c r="F13" s="9">
        <v>0.73399999999999999</v>
      </c>
      <c r="G13" s="6">
        <v>1.2</v>
      </c>
      <c r="H13" s="6">
        <v>0.78</v>
      </c>
      <c r="I13" s="10">
        <v>0.79500000000000004</v>
      </c>
      <c r="J13" s="6">
        <v>0.78</v>
      </c>
      <c r="K13" s="10">
        <v>0.79800000000000004</v>
      </c>
    </row>
    <row r="14" spans="1:11" x14ac:dyDescent="0.5">
      <c r="A14" s="4">
        <v>35</v>
      </c>
      <c r="B14" s="9">
        <v>0.52400000000000002</v>
      </c>
      <c r="C14" s="9">
        <v>0.52900000000000003</v>
      </c>
      <c r="D14" s="9">
        <v>0.86799999999999999</v>
      </c>
      <c r="E14" s="9">
        <v>0.52400000000000002</v>
      </c>
      <c r="F14" s="9">
        <v>0.52900000000000003</v>
      </c>
      <c r="G14" s="9">
        <v>0.86799999999999999</v>
      </c>
      <c r="H14" s="10">
        <v>0.55400000000000005</v>
      </c>
      <c r="I14" s="10">
        <v>0.56499999999999995</v>
      </c>
      <c r="J14" s="10">
        <v>0.55400000000000005</v>
      </c>
      <c r="K14" s="10">
        <v>0.56499999999999995</v>
      </c>
    </row>
    <row r="15" spans="1:11" x14ac:dyDescent="0.5">
      <c r="A15" s="4">
        <v>50</v>
      </c>
      <c r="B15" s="9">
        <v>0.38700000000000001</v>
      </c>
      <c r="C15" s="9">
        <v>0.39100000000000001</v>
      </c>
      <c r="D15" s="9">
        <v>0.64100000000000001</v>
      </c>
      <c r="E15" s="9">
        <v>0.38700000000000001</v>
      </c>
      <c r="F15" s="9">
        <v>0.39100000000000001</v>
      </c>
      <c r="G15" s="9">
        <v>0.64100000000000001</v>
      </c>
      <c r="H15" s="10">
        <v>0.38600000000000001</v>
      </c>
      <c r="I15" s="10">
        <v>0.39300000000000002</v>
      </c>
      <c r="J15" s="10">
        <v>0.38600000000000001</v>
      </c>
      <c r="K15" s="10">
        <v>0.39300000000000002</v>
      </c>
    </row>
    <row r="16" spans="1:11" x14ac:dyDescent="0.5">
      <c r="A16" s="4">
        <v>70</v>
      </c>
      <c r="B16" s="9">
        <v>0.26800000000000002</v>
      </c>
      <c r="C16" s="9">
        <v>0.27</v>
      </c>
      <c r="D16" s="9">
        <v>0.443</v>
      </c>
      <c r="E16" s="9">
        <v>0.26800000000000002</v>
      </c>
      <c r="F16" s="9">
        <v>0.27</v>
      </c>
      <c r="G16" s="9">
        <v>0.443</v>
      </c>
      <c r="H16" s="10">
        <v>0.27200000000000002</v>
      </c>
      <c r="I16" s="10">
        <v>0.27700000000000002</v>
      </c>
      <c r="J16" s="10">
        <v>0.27200000000000002</v>
      </c>
      <c r="K16" s="10">
        <v>0.27700000000000002</v>
      </c>
    </row>
    <row r="17" spans="1:11" x14ac:dyDescent="0.5">
      <c r="A17" s="4">
        <v>95</v>
      </c>
      <c r="B17" s="9">
        <v>0.193</v>
      </c>
      <c r="C17" s="9">
        <v>0.19500000000000001</v>
      </c>
      <c r="D17" s="9">
        <v>0.32</v>
      </c>
      <c r="E17" s="9">
        <v>0.193</v>
      </c>
      <c r="F17" s="9">
        <v>0.19500000000000001</v>
      </c>
      <c r="G17" s="9">
        <v>0.32</v>
      </c>
      <c r="H17" s="10">
        <v>0.20599999999999999</v>
      </c>
      <c r="I17" s="10">
        <v>0.21</v>
      </c>
      <c r="J17" s="10">
        <v>0.20599999999999999</v>
      </c>
      <c r="K17" s="10">
        <v>0.21</v>
      </c>
    </row>
    <row r="18" spans="1:11" x14ac:dyDescent="0.5">
      <c r="A18" s="4">
        <v>120</v>
      </c>
      <c r="B18" s="9">
        <v>0.153</v>
      </c>
      <c r="C18" s="9">
        <v>0.154</v>
      </c>
      <c r="D18" s="9">
        <v>0.253</v>
      </c>
      <c r="E18" s="9">
        <v>0.153</v>
      </c>
      <c r="F18" s="9">
        <v>0.154</v>
      </c>
      <c r="G18" s="9">
        <v>0.253</v>
      </c>
      <c r="H18" s="10">
        <v>0.161</v>
      </c>
      <c r="I18" s="10">
        <v>0.16400000000000001</v>
      </c>
      <c r="J18" s="10">
        <v>0.161</v>
      </c>
      <c r="K18" s="10">
        <v>0.16400000000000001</v>
      </c>
    </row>
    <row r="19" spans="1:11" x14ac:dyDescent="0.5">
      <c r="A19" s="4">
        <v>150</v>
      </c>
      <c r="B19" s="9">
        <v>0.124</v>
      </c>
      <c r="C19" s="9">
        <v>0.126</v>
      </c>
      <c r="D19" s="9">
        <v>0.20599999999999999</v>
      </c>
      <c r="E19" s="9">
        <v>0.124</v>
      </c>
      <c r="F19" s="9">
        <v>0.126</v>
      </c>
      <c r="G19" s="9">
        <v>0.20599999999999999</v>
      </c>
      <c r="H19" s="10">
        <v>0.129</v>
      </c>
      <c r="I19" s="10">
        <v>0.13200000000000001</v>
      </c>
      <c r="J19" s="10">
        <v>0.129</v>
      </c>
      <c r="K19" s="10">
        <v>0.13200000000000001</v>
      </c>
    </row>
    <row r="20" spans="1:11" x14ac:dyDescent="0.5">
      <c r="A20" s="4">
        <v>185</v>
      </c>
      <c r="B20" s="11">
        <v>9.9099999999999994E-2</v>
      </c>
      <c r="C20" s="9">
        <v>0.1</v>
      </c>
      <c r="D20" s="9">
        <v>0.16400000000000001</v>
      </c>
      <c r="E20" s="11">
        <v>9.9099999999999994E-2</v>
      </c>
      <c r="F20" s="9">
        <v>0.1</v>
      </c>
      <c r="G20" s="9">
        <v>0.16400000000000001</v>
      </c>
      <c r="H20" s="10">
        <v>0.106</v>
      </c>
      <c r="I20" s="10">
        <v>0.108</v>
      </c>
      <c r="J20" s="10">
        <v>0.106</v>
      </c>
      <c r="K20" s="10">
        <v>0.108</v>
      </c>
    </row>
    <row r="21" spans="1:11" x14ac:dyDescent="0.5">
      <c r="A21" s="4">
        <v>240</v>
      </c>
      <c r="B21" s="11">
        <v>7.5399999999999995E-2</v>
      </c>
      <c r="C21" s="11">
        <v>7.6200000000000004E-2</v>
      </c>
      <c r="D21" s="9">
        <v>0.125</v>
      </c>
      <c r="E21" s="11">
        <v>7.5399999999999995E-2</v>
      </c>
      <c r="F21" s="11">
        <v>7.6200000000000004E-2</v>
      </c>
      <c r="G21" s="9">
        <v>0.125</v>
      </c>
      <c r="H21" s="12">
        <v>8.0100000000000005E-2</v>
      </c>
      <c r="I21" s="12">
        <v>8.1699999999999995E-2</v>
      </c>
      <c r="J21" s="12">
        <v>8.0100000000000005E-2</v>
      </c>
      <c r="K21" s="12">
        <v>8.1699999999999995E-2</v>
      </c>
    </row>
    <row r="22" spans="1:11" x14ac:dyDescent="0.5">
      <c r="A22" s="4">
        <v>300</v>
      </c>
      <c r="B22" s="11">
        <v>6.0100000000000001E-2</v>
      </c>
      <c r="C22" s="11">
        <v>6.0699999999999997E-2</v>
      </c>
      <c r="D22" s="9">
        <v>0.1</v>
      </c>
      <c r="E22" s="11">
        <v>6.0100000000000001E-2</v>
      </c>
      <c r="F22" s="11">
        <v>6.0699999999999997E-2</v>
      </c>
      <c r="G22" s="9">
        <v>0.1</v>
      </c>
      <c r="H22" s="12">
        <v>6.4100000000000004E-2</v>
      </c>
      <c r="I22" s="12">
        <v>6.54E-2</v>
      </c>
      <c r="J22" s="12">
        <v>6.4100000000000004E-2</v>
      </c>
      <c r="K22" s="12">
        <v>6.54E-2</v>
      </c>
    </row>
    <row r="23" spans="1:11" x14ac:dyDescent="0.5">
      <c r="A23" s="4">
        <v>400</v>
      </c>
      <c r="B23" s="11">
        <v>4.7E-2</v>
      </c>
      <c r="C23" s="11">
        <v>4.7500000000000001E-2</v>
      </c>
      <c r="D23" s="6"/>
      <c r="E23" s="11">
        <v>4.7E-2</v>
      </c>
      <c r="F23" s="11">
        <v>4.7500000000000001E-2</v>
      </c>
      <c r="G23" s="4">
        <v>7.7799999999999994E-2</v>
      </c>
      <c r="H23" s="12">
        <v>4.9500000000000002E-2</v>
      </c>
      <c r="I23" s="12">
        <v>4.9500000000000002E-2</v>
      </c>
      <c r="J23" s="12">
        <v>4.9500000000000002E-2</v>
      </c>
      <c r="K23" s="12">
        <v>4.9500000000000002E-2</v>
      </c>
    </row>
    <row r="24" spans="1:11" x14ac:dyDescent="0.5">
      <c r="A24" s="4">
        <v>500</v>
      </c>
      <c r="B24" s="11">
        <v>3.6600000000000001E-2</v>
      </c>
      <c r="C24" s="11">
        <v>3.6900000000000002E-2</v>
      </c>
      <c r="D24" s="6"/>
      <c r="E24" s="11">
        <v>3.6600000000000001E-2</v>
      </c>
      <c r="F24" s="11">
        <v>3.6900000000000002E-2</v>
      </c>
      <c r="G24" s="4">
        <v>6.0499999999999998E-2</v>
      </c>
      <c r="H24" s="12">
        <v>3.9100000000000003E-2</v>
      </c>
      <c r="I24" s="12">
        <v>3.9100000000000003E-2</v>
      </c>
      <c r="J24" s="12">
        <v>3.9100000000000003E-2</v>
      </c>
      <c r="K24" s="12">
        <v>3.9100000000000003E-2</v>
      </c>
    </row>
    <row r="25" spans="1:11" x14ac:dyDescent="0.5">
      <c r="A25" s="4">
        <v>630</v>
      </c>
      <c r="B25" s="11">
        <v>2.8299999999999999E-2</v>
      </c>
      <c r="C25" s="11">
        <v>2.86E-2</v>
      </c>
      <c r="D25" s="6"/>
      <c r="E25" s="11">
        <v>2.8299999999999999E-2</v>
      </c>
      <c r="F25" s="11">
        <v>2.86E-2</v>
      </c>
      <c r="G25" s="4">
        <v>4.6899999999999997E-2</v>
      </c>
      <c r="H25" s="12">
        <v>2.87E-2</v>
      </c>
      <c r="I25" s="12">
        <v>2.92E-2</v>
      </c>
      <c r="J25" s="12">
        <v>2.87E-2</v>
      </c>
      <c r="K25" s="12">
        <v>2.92E-2</v>
      </c>
    </row>
    <row r="26" spans="1:11" x14ac:dyDescent="0.5">
      <c r="A26" s="4">
        <v>800</v>
      </c>
      <c r="B26" s="11">
        <v>2.2100000000000002E-2</v>
      </c>
      <c r="C26" s="11">
        <v>2.24E-2</v>
      </c>
      <c r="D26" s="6"/>
      <c r="E26" s="11">
        <v>2.2100000000000002E-2</v>
      </c>
      <c r="F26" s="11">
        <v>2.24E-2</v>
      </c>
      <c r="G26" s="4">
        <v>3.6900000000000002E-2</v>
      </c>
      <c r="H26" s="13"/>
      <c r="I26" s="14"/>
      <c r="J26" s="14"/>
      <c r="K26" s="14"/>
    </row>
    <row r="27" spans="1:11" x14ac:dyDescent="0.5">
      <c r="A27" s="4">
        <v>1000</v>
      </c>
      <c r="B27" s="11">
        <v>1.7600000000000001E-2</v>
      </c>
      <c r="C27" s="11">
        <v>1.77E-2</v>
      </c>
      <c r="D27" s="6"/>
      <c r="E27" s="11">
        <v>1.7600000000000001E-2</v>
      </c>
      <c r="F27" s="11">
        <v>1.77E-2</v>
      </c>
      <c r="G27" s="15">
        <v>2.9100000000000001E-2</v>
      </c>
      <c r="H27" s="13"/>
      <c r="I27" s="14"/>
      <c r="J27" s="14"/>
      <c r="K27" s="14"/>
    </row>
  </sheetData>
  <mergeCells count="6">
    <mergeCell ref="A1:K1"/>
    <mergeCell ref="A2:A3"/>
    <mergeCell ref="B2:D2"/>
    <mergeCell ref="E2:G2"/>
    <mergeCell ref="H2:I2"/>
    <mergeCell ref="J2:K2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D2D0A9F8959548948F70654CEFC848" ma:contentTypeVersion="15" ma:contentTypeDescription="Ein neues Dokument erstellen." ma:contentTypeScope="" ma:versionID="9f6b898af20bdd0cfb003b77fc292f07">
  <xsd:schema xmlns:xsd="http://www.w3.org/2001/XMLSchema" xmlns:xs="http://www.w3.org/2001/XMLSchema" xmlns:p="http://schemas.microsoft.com/office/2006/metadata/properties" xmlns:ns2="17f97be3-ee43-42a3-a5e7-a030ef9bd498" xmlns:ns3="6e4fcd35-fdb5-4027-8c2b-cb9aed0806fc" targetNamespace="http://schemas.microsoft.com/office/2006/metadata/properties" ma:root="true" ma:fieldsID="eae341f2c3e826b0badc323970e887f9" ns2:_="" ns3:_="">
    <xsd:import namespace="17f97be3-ee43-42a3-a5e7-a030ef9bd498"/>
    <xsd:import namespace="6e4fcd35-fdb5-4027-8c2b-cb9aed080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f97be3-ee43-42a3-a5e7-a030ef9bd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2b6d51ef-0831-431e-91d0-c719d1aae3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fcd35-fdb5-4027-8c2b-cb9aed0806f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72aa1ea-b15f-489b-a7de-d9d316d225a0}" ma:internalName="TaxCatchAll" ma:showField="CatchAllData" ma:web="6e4fcd35-fdb5-4027-8c2b-cb9aed080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A0DFE1-358F-49BB-82FE-E17B6F99B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f97be3-ee43-42a3-a5e7-a030ef9bd498"/>
    <ds:schemaRef ds:uri="6e4fcd35-fdb5-4027-8c2b-cb9aed0806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00D52E-73B8-4BB5-A9E3-E8179568F5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Inverter DC matching</vt:lpstr>
      <vt:lpstr>PV array shadow distance</vt:lpstr>
      <vt:lpstr>AC Cable loss</vt:lpstr>
      <vt:lpstr>Economic efficiency calculation</vt:lpstr>
      <vt:lpstr>逆变器参数</vt:lpstr>
      <vt:lpstr>直流电阻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2024-11-25T09:19:51Z</dcterms:modified>
</cp:coreProperties>
</file>